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нформация пользователя\Downloads\"/>
    </mc:Choice>
  </mc:AlternateContent>
  <xr:revisionPtr revIDLastSave="0" documentId="8_{376C9301-20DE-492E-84FF-9373FEAD0AB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Бакалавры 3++ шаблон" sheetId="1" r:id="rId1"/>
  </sheets>
  <definedNames>
    <definedName name="_xlnm._FilterDatabase" localSheetId="0" hidden="1">'Бакалавры 3++ шаблон'!$A$14:$Z$124</definedName>
    <definedName name="_xlnm.Print_Titles" localSheetId="0">'Бакалавры 3++ шаблон'!$7:$13</definedName>
    <definedName name="_xlnm.Print_Area" localSheetId="0">'Бакалавры 3++ шаблон'!$A$1:$V$152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1" i="1" l="1"/>
  <c r="C131" i="1"/>
  <c r="F99" i="1"/>
  <c r="U102" i="1" l="1"/>
  <c r="P102" i="1"/>
  <c r="O102" i="1"/>
  <c r="N102" i="1"/>
  <c r="G102" i="1"/>
  <c r="E103" i="1"/>
  <c r="G103" i="1" s="1"/>
  <c r="U101" i="1"/>
  <c r="P101" i="1"/>
  <c r="O101" i="1"/>
  <c r="N101" i="1"/>
  <c r="G101" i="1"/>
  <c r="E100" i="1"/>
  <c r="G100" i="1" s="1"/>
  <c r="P23" i="1"/>
  <c r="U57" i="1"/>
  <c r="P57" i="1"/>
  <c r="O57" i="1"/>
  <c r="N57" i="1"/>
  <c r="G57" i="1"/>
  <c r="U58" i="1"/>
  <c r="P58" i="1"/>
  <c r="O58" i="1"/>
  <c r="N58" i="1"/>
  <c r="G58" i="1"/>
  <c r="E56" i="1"/>
  <c r="G56" i="1" s="1"/>
  <c r="U60" i="1"/>
  <c r="P60" i="1"/>
  <c r="O60" i="1"/>
  <c r="N60" i="1"/>
  <c r="G60" i="1"/>
  <c r="U59" i="1"/>
  <c r="P59" i="1"/>
  <c r="O59" i="1"/>
  <c r="N59" i="1"/>
  <c r="G59" i="1"/>
  <c r="U43" i="1"/>
  <c r="P43" i="1"/>
  <c r="O43" i="1"/>
  <c r="N43" i="1"/>
  <c r="G43" i="1"/>
  <c r="G49" i="1"/>
  <c r="G50" i="1"/>
  <c r="N49" i="1"/>
  <c r="O49" i="1"/>
  <c r="P49" i="1"/>
  <c r="U49" i="1"/>
  <c r="N50" i="1"/>
  <c r="O50" i="1"/>
  <c r="P50" i="1"/>
  <c r="U50" i="1"/>
  <c r="U52" i="1"/>
  <c r="P52" i="1"/>
  <c r="O52" i="1"/>
  <c r="N52" i="1"/>
  <c r="G52" i="1"/>
  <c r="U66" i="1"/>
  <c r="N66" i="1"/>
  <c r="O66" i="1"/>
  <c r="P66" i="1"/>
  <c r="G66" i="1"/>
  <c r="U93" i="1"/>
  <c r="P93" i="1"/>
  <c r="O93" i="1"/>
  <c r="N93" i="1"/>
  <c r="G93" i="1"/>
  <c r="U92" i="1"/>
  <c r="P92" i="1"/>
  <c r="O92" i="1"/>
  <c r="N92" i="1"/>
  <c r="G92" i="1"/>
  <c r="U88" i="1"/>
  <c r="P88" i="1"/>
  <c r="O88" i="1"/>
  <c r="N88" i="1"/>
  <c r="G88" i="1"/>
  <c r="U35" i="1"/>
  <c r="P35" i="1"/>
  <c r="O35" i="1"/>
  <c r="N35" i="1"/>
  <c r="G35" i="1"/>
  <c r="M102" i="1" l="1"/>
  <c r="V102" i="1" s="1"/>
  <c r="T102" i="1" s="1"/>
  <c r="M101" i="1"/>
  <c r="V101" i="1" s="1"/>
  <c r="T101" i="1" s="1"/>
  <c r="M57" i="1"/>
  <c r="V57" i="1" s="1"/>
  <c r="T57" i="1" s="1"/>
  <c r="M58" i="1"/>
  <c r="V58" i="1" s="1"/>
  <c r="T58" i="1" s="1"/>
  <c r="M60" i="1"/>
  <c r="V60" i="1" s="1"/>
  <c r="T60" i="1" s="1"/>
  <c r="M59" i="1"/>
  <c r="V59" i="1" s="1"/>
  <c r="T59" i="1" s="1"/>
  <c r="M43" i="1"/>
  <c r="V43" i="1" s="1"/>
  <c r="T43" i="1" s="1"/>
  <c r="M50" i="1"/>
  <c r="V50" i="1" s="1"/>
  <c r="T50" i="1" s="1"/>
  <c r="M49" i="1"/>
  <c r="V49" i="1" s="1"/>
  <c r="T49" i="1" s="1"/>
  <c r="M52" i="1"/>
  <c r="V52" i="1" s="1"/>
  <c r="T52" i="1" s="1"/>
  <c r="M66" i="1"/>
  <c r="V66" i="1" s="1"/>
  <c r="T66" i="1" s="1"/>
  <c r="M92" i="1"/>
  <c r="V92" i="1" s="1"/>
  <c r="T92" i="1" s="1"/>
  <c r="M93" i="1"/>
  <c r="V93" i="1" s="1"/>
  <c r="T93" i="1" s="1"/>
  <c r="M35" i="1"/>
  <c r="V35" i="1" s="1"/>
  <c r="T35" i="1" s="1"/>
  <c r="M88" i="1"/>
  <c r="V88" i="1" s="1"/>
  <c r="T88" i="1" s="1"/>
  <c r="J140" i="1" l="1"/>
  <c r="I140" i="1"/>
  <c r="H141" i="1"/>
  <c r="H140" i="1"/>
  <c r="G140" i="1"/>
  <c r="F140" i="1"/>
  <c r="E140" i="1"/>
  <c r="D140" i="1"/>
  <c r="C140" i="1"/>
  <c r="C142" i="1"/>
  <c r="D142" i="1"/>
  <c r="E142" i="1"/>
  <c r="F142" i="1"/>
  <c r="G142" i="1"/>
  <c r="H142" i="1"/>
  <c r="I142" i="1"/>
  <c r="J142" i="1"/>
  <c r="E63" i="1" l="1"/>
  <c r="G63" i="1" s="1"/>
  <c r="U94" i="1" l="1"/>
  <c r="P94" i="1"/>
  <c r="O94" i="1"/>
  <c r="N94" i="1"/>
  <c r="G94" i="1"/>
  <c r="M94" i="1" l="1"/>
  <c r="V94" i="1" s="1"/>
  <c r="T94" i="1" s="1"/>
  <c r="U91" i="1" l="1"/>
  <c r="P91" i="1"/>
  <c r="O91" i="1"/>
  <c r="N91" i="1"/>
  <c r="G91" i="1"/>
  <c r="U90" i="1"/>
  <c r="P90" i="1"/>
  <c r="O90" i="1"/>
  <c r="N90" i="1"/>
  <c r="G90" i="1"/>
  <c r="U98" i="1"/>
  <c r="P98" i="1"/>
  <c r="O98" i="1"/>
  <c r="N98" i="1"/>
  <c r="G98" i="1"/>
  <c r="U97" i="1"/>
  <c r="P97" i="1"/>
  <c r="O97" i="1"/>
  <c r="N97" i="1"/>
  <c r="G97" i="1"/>
  <c r="C134" i="1"/>
  <c r="D134" i="1"/>
  <c r="E134" i="1"/>
  <c r="F134" i="1"/>
  <c r="G134" i="1"/>
  <c r="H134" i="1"/>
  <c r="I134" i="1"/>
  <c r="J134" i="1"/>
  <c r="F120" i="1"/>
  <c r="U64" i="1"/>
  <c r="P64" i="1"/>
  <c r="O64" i="1"/>
  <c r="N64" i="1"/>
  <c r="G64" i="1"/>
  <c r="U106" i="1"/>
  <c r="P106" i="1"/>
  <c r="O106" i="1"/>
  <c r="N106" i="1"/>
  <c r="G106" i="1"/>
  <c r="M90" i="1" l="1"/>
  <c r="V90" i="1" s="1"/>
  <c r="T90" i="1" s="1"/>
  <c r="M91" i="1"/>
  <c r="V91" i="1" s="1"/>
  <c r="T91" i="1" s="1"/>
  <c r="M98" i="1"/>
  <c r="V98" i="1" s="1"/>
  <c r="T98" i="1" s="1"/>
  <c r="M97" i="1"/>
  <c r="V97" i="1" s="1"/>
  <c r="T97" i="1" s="1"/>
  <c r="M64" i="1"/>
  <c r="V64" i="1" s="1"/>
  <c r="T64" i="1" s="1"/>
  <c r="M106" i="1"/>
  <c r="V106" i="1" s="1"/>
  <c r="T106" i="1" s="1"/>
  <c r="U53" i="1" l="1"/>
  <c r="P53" i="1"/>
  <c r="O53" i="1"/>
  <c r="N53" i="1"/>
  <c r="G53" i="1"/>
  <c r="U51" i="1"/>
  <c r="P51" i="1"/>
  <c r="O51" i="1"/>
  <c r="N51" i="1"/>
  <c r="G51" i="1"/>
  <c r="U48" i="1"/>
  <c r="P48" i="1"/>
  <c r="O48" i="1"/>
  <c r="N48" i="1"/>
  <c r="G48" i="1"/>
  <c r="U89" i="1"/>
  <c r="P89" i="1"/>
  <c r="O89" i="1"/>
  <c r="N89" i="1"/>
  <c r="G89" i="1"/>
  <c r="M53" i="1" l="1"/>
  <c r="V53" i="1" s="1"/>
  <c r="T53" i="1" s="1"/>
  <c r="M51" i="1"/>
  <c r="V51" i="1" s="1"/>
  <c r="T51" i="1" s="1"/>
  <c r="M48" i="1"/>
  <c r="V48" i="1" s="1"/>
  <c r="T48" i="1" s="1"/>
  <c r="M89" i="1"/>
  <c r="V89" i="1" s="1"/>
  <c r="T89" i="1" s="1"/>
  <c r="U87" i="1" l="1"/>
  <c r="P87" i="1"/>
  <c r="O87" i="1"/>
  <c r="N87" i="1"/>
  <c r="G87" i="1"/>
  <c r="U86" i="1"/>
  <c r="P86" i="1"/>
  <c r="O86" i="1"/>
  <c r="N86" i="1"/>
  <c r="G86" i="1"/>
  <c r="U85" i="1"/>
  <c r="P85" i="1"/>
  <c r="O85" i="1"/>
  <c r="N85" i="1"/>
  <c r="G85" i="1"/>
  <c r="U84" i="1"/>
  <c r="P84" i="1"/>
  <c r="O84" i="1"/>
  <c r="N84" i="1"/>
  <c r="G84" i="1"/>
  <c r="G99" i="1"/>
  <c r="U83" i="1"/>
  <c r="P83" i="1"/>
  <c r="O83" i="1"/>
  <c r="N83" i="1"/>
  <c r="G83" i="1"/>
  <c r="U82" i="1"/>
  <c r="P82" i="1"/>
  <c r="O82" i="1"/>
  <c r="N82" i="1"/>
  <c r="G82" i="1"/>
  <c r="U81" i="1"/>
  <c r="P81" i="1"/>
  <c r="O81" i="1"/>
  <c r="N81" i="1"/>
  <c r="G81" i="1"/>
  <c r="U80" i="1"/>
  <c r="P80" i="1"/>
  <c r="O80" i="1"/>
  <c r="N80" i="1"/>
  <c r="G80" i="1"/>
  <c r="U79" i="1"/>
  <c r="P79" i="1"/>
  <c r="O79" i="1"/>
  <c r="N79" i="1"/>
  <c r="G79" i="1"/>
  <c r="U78" i="1"/>
  <c r="P78" i="1"/>
  <c r="O78" i="1"/>
  <c r="N78" i="1"/>
  <c r="G78" i="1"/>
  <c r="U77" i="1"/>
  <c r="P77" i="1"/>
  <c r="O77" i="1"/>
  <c r="N77" i="1"/>
  <c r="G77" i="1"/>
  <c r="U76" i="1"/>
  <c r="P76" i="1"/>
  <c r="O76" i="1"/>
  <c r="N76" i="1"/>
  <c r="G76" i="1"/>
  <c r="U75" i="1"/>
  <c r="P75" i="1"/>
  <c r="O75" i="1"/>
  <c r="N75" i="1"/>
  <c r="G75" i="1"/>
  <c r="U74" i="1"/>
  <c r="P74" i="1"/>
  <c r="O74" i="1"/>
  <c r="N74" i="1"/>
  <c r="G74" i="1"/>
  <c r="U73" i="1"/>
  <c r="P73" i="1"/>
  <c r="O73" i="1"/>
  <c r="N73" i="1"/>
  <c r="G73" i="1"/>
  <c r="U72" i="1"/>
  <c r="P72" i="1"/>
  <c r="O72" i="1"/>
  <c r="N72" i="1"/>
  <c r="G72" i="1"/>
  <c r="U71" i="1"/>
  <c r="P71" i="1"/>
  <c r="O71" i="1"/>
  <c r="N71" i="1"/>
  <c r="G71" i="1"/>
  <c r="U70" i="1"/>
  <c r="P70" i="1"/>
  <c r="O70" i="1"/>
  <c r="N70" i="1"/>
  <c r="G70" i="1"/>
  <c r="U69" i="1"/>
  <c r="P69" i="1"/>
  <c r="O69" i="1"/>
  <c r="N69" i="1"/>
  <c r="G69" i="1"/>
  <c r="U68" i="1"/>
  <c r="P68" i="1"/>
  <c r="O68" i="1"/>
  <c r="N68" i="1"/>
  <c r="G68" i="1"/>
  <c r="U38" i="1"/>
  <c r="P38" i="1"/>
  <c r="O38" i="1"/>
  <c r="N38" i="1"/>
  <c r="G38" i="1"/>
  <c r="U24" i="1"/>
  <c r="P24" i="1"/>
  <c r="O24" i="1"/>
  <c r="N24" i="1"/>
  <c r="G24" i="1"/>
  <c r="U67" i="1"/>
  <c r="P67" i="1"/>
  <c r="O67" i="1"/>
  <c r="N67" i="1"/>
  <c r="G67" i="1"/>
  <c r="U65" i="1"/>
  <c r="P65" i="1"/>
  <c r="O65" i="1"/>
  <c r="N65" i="1"/>
  <c r="G65" i="1"/>
  <c r="U62" i="1"/>
  <c r="P62" i="1"/>
  <c r="O62" i="1"/>
  <c r="N62" i="1"/>
  <c r="G62" i="1"/>
  <c r="U47" i="1"/>
  <c r="U54" i="1"/>
  <c r="U55" i="1"/>
  <c r="U61" i="1"/>
  <c r="P61" i="1"/>
  <c r="O61" i="1"/>
  <c r="N61" i="1"/>
  <c r="G61" i="1"/>
  <c r="P55" i="1"/>
  <c r="O55" i="1"/>
  <c r="N55" i="1"/>
  <c r="G55" i="1"/>
  <c r="P54" i="1"/>
  <c r="O54" i="1"/>
  <c r="N54" i="1"/>
  <c r="G54" i="1"/>
  <c r="P47" i="1"/>
  <c r="O47" i="1"/>
  <c r="N47" i="1"/>
  <c r="G47" i="1"/>
  <c r="U46" i="1"/>
  <c r="P46" i="1"/>
  <c r="O46" i="1"/>
  <c r="N46" i="1"/>
  <c r="G46" i="1"/>
  <c r="U45" i="1"/>
  <c r="P45" i="1"/>
  <c r="O45" i="1"/>
  <c r="N45" i="1"/>
  <c r="G45" i="1"/>
  <c r="E44" i="1"/>
  <c r="G44" i="1" s="1"/>
  <c r="U42" i="1"/>
  <c r="P42" i="1"/>
  <c r="O42" i="1"/>
  <c r="N42" i="1"/>
  <c r="G42" i="1"/>
  <c r="U41" i="1"/>
  <c r="P41" i="1"/>
  <c r="O41" i="1"/>
  <c r="N41" i="1"/>
  <c r="G41" i="1"/>
  <c r="E40" i="1"/>
  <c r="G40" i="1" s="1"/>
  <c r="U39" i="1"/>
  <c r="P39" i="1"/>
  <c r="O39" i="1"/>
  <c r="N39" i="1"/>
  <c r="G39" i="1"/>
  <c r="U37" i="1"/>
  <c r="P37" i="1"/>
  <c r="O37" i="1"/>
  <c r="N37" i="1"/>
  <c r="G37" i="1"/>
  <c r="P36" i="1"/>
  <c r="O36" i="1"/>
  <c r="N36" i="1"/>
  <c r="G36" i="1"/>
  <c r="P34" i="1"/>
  <c r="O34" i="1"/>
  <c r="N34" i="1"/>
  <c r="G34" i="1"/>
  <c r="U32" i="1"/>
  <c r="P32" i="1"/>
  <c r="O32" i="1"/>
  <c r="N32" i="1"/>
  <c r="G32" i="1"/>
  <c r="U31" i="1"/>
  <c r="P31" i="1"/>
  <c r="O31" i="1"/>
  <c r="N31" i="1"/>
  <c r="G31" i="1"/>
  <c r="U30" i="1"/>
  <c r="P30" i="1"/>
  <c r="O30" i="1"/>
  <c r="N30" i="1"/>
  <c r="G30" i="1"/>
  <c r="U29" i="1"/>
  <c r="P29" i="1"/>
  <c r="O29" i="1"/>
  <c r="N29" i="1"/>
  <c r="G29" i="1"/>
  <c r="U28" i="1"/>
  <c r="P28" i="1"/>
  <c r="O28" i="1"/>
  <c r="N28" i="1"/>
  <c r="G28" i="1"/>
  <c r="U25" i="1"/>
  <c r="U26" i="1"/>
  <c r="P26" i="1"/>
  <c r="O26" i="1"/>
  <c r="N26" i="1"/>
  <c r="G26" i="1"/>
  <c r="P25" i="1"/>
  <c r="O25" i="1"/>
  <c r="N25" i="1"/>
  <c r="G25" i="1"/>
  <c r="U21" i="1"/>
  <c r="U22" i="1"/>
  <c r="U23" i="1"/>
  <c r="O23" i="1"/>
  <c r="N23" i="1"/>
  <c r="G23" i="1"/>
  <c r="P22" i="1"/>
  <c r="O22" i="1"/>
  <c r="N22" i="1"/>
  <c r="G22" i="1"/>
  <c r="P21" i="1"/>
  <c r="O21" i="1"/>
  <c r="N21" i="1"/>
  <c r="G21" i="1"/>
  <c r="P20" i="1"/>
  <c r="O20" i="1"/>
  <c r="N20" i="1"/>
  <c r="P19" i="1"/>
  <c r="O19" i="1"/>
  <c r="N19" i="1"/>
  <c r="P18" i="1"/>
  <c r="O18" i="1"/>
  <c r="N18" i="1"/>
  <c r="M18" i="1" l="1"/>
  <c r="M38" i="1"/>
  <c r="V38" i="1" s="1"/>
  <c r="T38" i="1" s="1"/>
  <c r="M76" i="1"/>
  <c r="V76" i="1" s="1"/>
  <c r="T76" i="1" s="1"/>
  <c r="M67" i="1"/>
  <c r="V67" i="1" s="1"/>
  <c r="T67" i="1" s="1"/>
  <c r="M72" i="1"/>
  <c r="V72" i="1" s="1"/>
  <c r="T72" i="1" s="1"/>
  <c r="M74" i="1"/>
  <c r="V74" i="1" s="1"/>
  <c r="T74" i="1" s="1"/>
  <c r="M77" i="1"/>
  <c r="V77" i="1" s="1"/>
  <c r="T77" i="1" s="1"/>
  <c r="M82" i="1"/>
  <c r="V82" i="1" s="1"/>
  <c r="T82" i="1" s="1"/>
  <c r="M71" i="1"/>
  <c r="V71" i="1" s="1"/>
  <c r="T71" i="1" s="1"/>
  <c r="M79" i="1"/>
  <c r="V79" i="1" s="1"/>
  <c r="T79" i="1" s="1"/>
  <c r="M87" i="1"/>
  <c r="V87" i="1" s="1"/>
  <c r="T87" i="1" s="1"/>
  <c r="M85" i="1"/>
  <c r="V85" i="1" s="1"/>
  <c r="T85" i="1" s="1"/>
  <c r="M20" i="1"/>
  <c r="M21" i="1"/>
  <c r="V21" i="1" s="1"/>
  <c r="T21" i="1" s="1"/>
  <c r="M31" i="1"/>
  <c r="V31" i="1" s="1"/>
  <c r="T31" i="1" s="1"/>
  <c r="M34" i="1"/>
  <c r="M36" i="1"/>
  <c r="M37" i="1"/>
  <c r="V37" i="1" s="1"/>
  <c r="T37" i="1" s="1"/>
  <c r="M42" i="1"/>
  <c r="V42" i="1" s="1"/>
  <c r="T42" i="1" s="1"/>
  <c r="M45" i="1"/>
  <c r="V45" i="1" s="1"/>
  <c r="T45" i="1" s="1"/>
  <c r="M47" i="1"/>
  <c r="V47" i="1" s="1"/>
  <c r="T47" i="1" s="1"/>
  <c r="M55" i="1"/>
  <c r="V55" i="1" s="1"/>
  <c r="T55" i="1" s="1"/>
  <c r="M61" i="1"/>
  <c r="V61" i="1" s="1"/>
  <c r="T61" i="1" s="1"/>
  <c r="M68" i="1"/>
  <c r="V68" i="1" s="1"/>
  <c r="T68" i="1" s="1"/>
  <c r="M78" i="1"/>
  <c r="V78" i="1" s="1"/>
  <c r="T78" i="1" s="1"/>
  <c r="M84" i="1"/>
  <c r="V84" i="1" s="1"/>
  <c r="T84" i="1" s="1"/>
  <c r="M24" i="1"/>
  <c r="V24" i="1" s="1"/>
  <c r="T24" i="1" s="1"/>
  <c r="M86" i="1"/>
  <c r="V86" i="1" s="1"/>
  <c r="T86" i="1" s="1"/>
  <c r="M25" i="1"/>
  <c r="V25" i="1" s="1"/>
  <c r="T25" i="1" s="1"/>
  <c r="M26" i="1"/>
  <c r="V26" i="1" s="1"/>
  <c r="T26" i="1" s="1"/>
  <c r="M28" i="1"/>
  <c r="V28" i="1" s="1"/>
  <c r="T28" i="1" s="1"/>
  <c r="M32" i="1"/>
  <c r="V32" i="1" s="1"/>
  <c r="T32" i="1" s="1"/>
  <c r="M46" i="1"/>
  <c r="V46" i="1" s="1"/>
  <c r="T46" i="1" s="1"/>
  <c r="M69" i="1"/>
  <c r="V69" i="1" s="1"/>
  <c r="T69" i="1" s="1"/>
  <c r="M75" i="1"/>
  <c r="V75" i="1" s="1"/>
  <c r="T75" i="1" s="1"/>
  <c r="M80" i="1"/>
  <c r="V80" i="1" s="1"/>
  <c r="T80" i="1" s="1"/>
  <c r="M70" i="1"/>
  <c r="V70" i="1" s="1"/>
  <c r="T70" i="1" s="1"/>
  <c r="M73" i="1"/>
  <c r="V73" i="1" s="1"/>
  <c r="T73" i="1" s="1"/>
  <c r="M81" i="1"/>
  <c r="V81" i="1" s="1"/>
  <c r="T81" i="1" s="1"/>
  <c r="M83" i="1"/>
  <c r="V83" i="1" s="1"/>
  <c r="T83" i="1" s="1"/>
  <c r="M39" i="1"/>
  <c r="V39" i="1" s="1"/>
  <c r="T39" i="1" s="1"/>
  <c r="M41" i="1"/>
  <c r="V41" i="1" s="1"/>
  <c r="T41" i="1" s="1"/>
  <c r="M54" i="1"/>
  <c r="V54" i="1" s="1"/>
  <c r="T54" i="1" s="1"/>
  <c r="M62" i="1"/>
  <c r="V62" i="1" s="1"/>
  <c r="T62" i="1" s="1"/>
  <c r="M65" i="1"/>
  <c r="V65" i="1" s="1"/>
  <c r="T65" i="1" s="1"/>
  <c r="M30" i="1"/>
  <c r="V30" i="1" s="1"/>
  <c r="T30" i="1" s="1"/>
  <c r="M22" i="1"/>
  <c r="V22" i="1" s="1"/>
  <c r="T22" i="1" s="1"/>
  <c r="M23" i="1"/>
  <c r="V23" i="1" s="1"/>
  <c r="T23" i="1" s="1"/>
  <c r="M19" i="1"/>
  <c r="M29" i="1"/>
  <c r="V29" i="1" s="1"/>
  <c r="T29" i="1" s="1"/>
  <c r="D133" i="1" l="1"/>
  <c r="C132" i="1"/>
  <c r="J120" i="1"/>
  <c r="L120" i="1"/>
  <c r="K120" i="1"/>
  <c r="I120" i="1"/>
  <c r="H120" i="1"/>
  <c r="M115" i="1"/>
  <c r="L115" i="1"/>
  <c r="K115" i="1"/>
  <c r="J115" i="1"/>
  <c r="I115" i="1"/>
  <c r="H115" i="1"/>
  <c r="G115" i="1"/>
  <c r="G114" i="1" s="1"/>
  <c r="P115" i="1"/>
  <c r="Q115" i="1"/>
  <c r="R115" i="1"/>
  <c r="S115" i="1"/>
  <c r="T115" i="1"/>
  <c r="U115" i="1"/>
  <c r="V115" i="1"/>
  <c r="N115" i="1"/>
  <c r="O115" i="1"/>
  <c r="F115" i="1"/>
  <c r="H114" i="1" l="1"/>
  <c r="L114" i="1"/>
  <c r="K114" i="1"/>
  <c r="J114" i="1"/>
  <c r="I114" i="1"/>
  <c r="Z95" i="1"/>
  <c r="Y95" i="1"/>
  <c r="U95" i="1"/>
  <c r="P95" i="1"/>
  <c r="O95" i="1"/>
  <c r="N95" i="1"/>
  <c r="G95" i="1"/>
  <c r="J145" i="1"/>
  <c r="I145" i="1"/>
  <c r="H145" i="1"/>
  <c r="G145" i="1"/>
  <c r="F145" i="1"/>
  <c r="E145" i="1"/>
  <c r="D145" i="1"/>
  <c r="C145" i="1"/>
  <c r="J144" i="1"/>
  <c r="I144" i="1"/>
  <c r="H144" i="1"/>
  <c r="G144" i="1"/>
  <c r="F144" i="1"/>
  <c r="E144" i="1"/>
  <c r="D144" i="1"/>
  <c r="C144" i="1"/>
  <c r="J143" i="1"/>
  <c r="I143" i="1"/>
  <c r="H143" i="1"/>
  <c r="G143" i="1"/>
  <c r="F143" i="1"/>
  <c r="E143" i="1"/>
  <c r="D143" i="1"/>
  <c r="C143" i="1"/>
  <c r="J141" i="1"/>
  <c r="I141" i="1"/>
  <c r="G141" i="1"/>
  <c r="F141" i="1"/>
  <c r="E141" i="1"/>
  <c r="D141" i="1"/>
  <c r="C141" i="1"/>
  <c r="J139" i="1"/>
  <c r="I139" i="1"/>
  <c r="H139" i="1"/>
  <c r="G139" i="1"/>
  <c r="F139" i="1"/>
  <c r="E139" i="1"/>
  <c r="D139" i="1"/>
  <c r="C139" i="1"/>
  <c r="K136" i="1"/>
  <c r="J135" i="1"/>
  <c r="I135" i="1"/>
  <c r="H135" i="1"/>
  <c r="G135" i="1"/>
  <c r="F135" i="1"/>
  <c r="E135" i="1"/>
  <c r="D135" i="1"/>
  <c r="C135" i="1"/>
  <c r="J133" i="1"/>
  <c r="I133" i="1"/>
  <c r="H133" i="1"/>
  <c r="G133" i="1"/>
  <c r="F133" i="1"/>
  <c r="E133" i="1"/>
  <c r="C133" i="1"/>
  <c r="J132" i="1"/>
  <c r="I132" i="1"/>
  <c r="H132" i="1"/>
  <c r="G132" i="1"/>
  <c r="F132" i="1"/>
  <c r="E132" i="1"/>
  <c r="D132" i="1"/>
  <c r="J131" i="1"/>
  <c r="I131" i="1"/>
  <c r="H131" i="1"/>
  <c r="G131" i="1"/>
  <c r="F131" i="1"/>
  <c r="E131" i="1"/>
  <c r="J129" i="1"/>
  <c r="I129" i="1"/>
  <c r="H129" i="1"/>
  <c r="G129" i="1"/>
  <c r="F129" i="1"/>
  <c r="E129" i="1"/>
  <c r="D129" i="1"/>
  <c r="C129" i="1"/>
  <c r="K128" i="1"/>
  <c r="K127" i="1"/>
  <c r="Z123" i="1"/>
  <c r="Y123" i="1"/>
  <c r="Z122" i="1"/>
  <c r="Y122" i="1"/>
  <c r="F122" i="1"/>
  <c r="Z121" i="1"/>
  <c r="Y121" i="1"/>
  <c r="V120" i="1"/>
  <c r="V114" i="1" s="1"/>
  <c r="T120" i="1"/>
  <c r="T114" i="1" s="1"/>
  <c r="S120" i="1"/>
  <c r="S114" i="1" s="1"/>
  <c r="R120" i="1"/>
  <c r="R114" i="1" s="1"/>
  <c r="Q120" i="1"/>
  <c r="Q114" i="1" s="1"/>
  <c r="P120" i="1"/>
  <c r="P114" i="1" s="1"/>
  <c r="N120" i="1"/>
  <c r="N114" i="1" s="1"/>
  <c r="M120" i="1"/>
  <c r="M114" i="1" s="1"/>
  <c r="F114" i="1"/>
  <c r="Z120" i="1"/>
  <c r="Y120" i="1"/>
  <c r="Z113" i="1"/>
  <c r="Y113" i="1"/>
  <c r="U113" i="1"/>
  <c r="P113" i="1"/>
  <c r="O113" i="1"/>
  <c r="N113" i="1"/>
  <c r="Z112" i="1"/>
  <c r="Y112" i="1"/>
  <c r="U112" i="1"/>
  <c r="P112" i="1"/>
  <c r="O112" i="1"/>
  <c r="N112" i="1"/>
  <c r="Z111" i="1"/>
  <c r="Y111" i="1"/>
  <c r="U111" i="1"/>
  <c r="P111" i="1"/>
  <c r="O111" i="1"/>
  <c r="N111" i="1"/>
  <c r="Z110" i="1"/>
  <c r="Y110" i="1"/>
  <c r="U110" i="1"/>
  <c r="P110" i="1"/>
  <c r="O110" i="1"/>
  <c r="N110" i="1"/>
  <c r="Z109" i="1"/>
  <c r="Y109" i="1"/>
  <c r="U109" i="1"/>
  <c r="P109" i="1"/>
  <c r="O109" i="1"/>
  <c r="N109" i="1"/>
  <c r="S108" i="1"/>
  <c r="R108" i="1"/>
  <c r="Q108" i="1"/>
  <c r="G108" i="1"/>
  <c r="S99" i="1"/>
  <c r="S96" i="1" s="1"/>
  <c r="R99" i="1"/>
  <c r="R96" i="1" s="1"/>
  <c r="Q99" i="1"/>
  <c r="Q96" i="1" s="1"/>
  <c r="L99" i="1"/>
  <c r="L96" i="1" s="1"/>
  <c r="K99" i="1"/>
  <c r="K96" i="1" s="1"/>
  <c r="Z96" i="1" s="1"/>
  <c r="J99" i="1"/>
  <c r="J96" i="1" s="1"/>
  <c r="Y96" i="1" s="1"/>
  <c r="I99" i="1"/>
  <c r="I96" i="1" s="1"/>
  <c r="H99" i="1"/>
  <c r="H96" i="1" s="1"/>
  <c r="F96" i="1"/>
  <c r="Z97" i="1"/>
  <c r="Y97" i="1"/>
  <c r="Z37" i="1"/>
  <c r="Y37" i="1"/>
  <c r="Z36" i="1"/>
  <c r="Y36" i="1"/>
  <c r="U36" i="1"/>
  <c r="Z34" i="1"/>
  <c r="Y34" i="1"/>
  <c r="U34" i="1"/>
  <c r="E33" i="1"/>
  <c r="G33" i="1" s="1"/>
  <c r="Z30" i="1"/>
  <c r="Y30" i="1"/>
  <c r="Z28" i="1"/>
  <c r="Y28" i="1"/>
  <c r="E27" i="1"/>
  <c r="G27" i="1" s="1"/>
  <c r="Z23" i="1"/>
  <c r="Y23" i="1"/>
  <c r="Z22" i="1"/>
  <c r="Y22" i="1"/>
  <c r="Z21" i="1"/>
  <c r="Y21" i="1"/>
  <c r="Z20" i="1"/>
  <c r="Y20" i="1"/>
  <c r="U20" i="1"/>
  <c r="G20" i="1"/>
  <c r="Z19" i="1"/>
  <c r="Y19" i="1"/>
  <c r="U19" i="1"/>
  <c r="G19" i="1"/>
  <c r="Z18" i="1"/>
  <c r="Y18" i="1"/>
  <c r="U18" i="1"/>
  <c r="G18" i="1"/>
  <c r="Z17" i="1"/>
  <c r="Y17" i="1"/>
  <c r="E17" i="1"/>
  <c r="G17" i="1" s="1"/>
  <c r="S16" i="1"/>
  <c r="R16" i="1"/>
  <c r="Q16" i="1"/>
  <c r="L16" i="1"/>
  <c r="K16" i="1"/>
  <c r="J16" i="1"/>
  <c r="I16" i="1"/>
  <c r="H16" i="1"/>
  <c r="F16" i="1"/>
  <c r="G16" i="1" l="1"/>
  <c r="G96" i="1"/>
  <c r="J15" i="1"/>
  <c r="I15" i="1"/>
  <c r="I124" i="1" s="1"/>
  <c r="L15" i="1"/>
  <c r="O120" i="1"/>
  <c r="O114" i="1" s="1"/>
  <c r="U120" i="1"/>
  <c r="U114" i="1" s="1"/>
  <c r="K134" i="1"/>
  <c r="P108" i="1"/>
  <c r="U108" i="1"/>
  <c r="P16" i="1"/>
  <c r="U16" i="1"/>
  <c r="V34" i="1"/>
  <c r="T34" i="1" s="1"/>
  <c r="C137" i="1"/>
  <c r="G137" i="1"/>
  <c r="K133" i="1"/>
  <c r="H15" i="1"/>
  <c r="H124" i="1" s="1"/>
  <c r="O16" i="1"/>
  <c r="N108" i="1"/>
  <c r="O108" i="1"/>
  <c r="E137" i="1"/>
  <c r="I137" i="1"/>
  <c r="F15" i="1"/>
  <c r="U133" i="1" s="1"/>
  <c r="K15" i="1"/>
  <c r="Q15" i="1"/>
  <c r="Q124" i="1" s="1"/>
  <c r="S15" i="1"/>
  <c r="S124" i="1" s="1"/>
  <c r="D137" i="1"/>
  <c r="H137" i="1"/>
  <c r="M95" i="1"/>
  <c r="V95" i="1" s="1"/>
  <c r="T95" i="1" s="1"/>
  <c r="K143" i="1"/>
  <c r="K144" i="1"/>
  <c r="K145" i="1"/>
  <c r="O99" i="1"/>
  <c r="O96" i="1" s="1"/>
  <c r="U99" i="1"/>
  <c r="U96" i="1" s="1"/>
  <c r="F137" i="1"/>
  <c r="J137" i="1"/>
  <c r="N99" i="1"/>
  <c r="N96" i="1" s="1"/>
  <c r="P99" i="1"/>
  <c r="P96" i="1" s="1"/>
  <c r="K129" i="1"/>
  <c r="K132" i="1"/>
  <c r="K141" i="1"/>
  <c r="K142" i="1"/>
  <c r="V19" i="1"/>
  <c r="V36" i="1"/>
  <c r="T36" i="1" s="1"/>
  <c r="M109" i="1"/>
  <c r="V109" i="1" s="1"/>
  <c r="M110" i="1"/>
  <c r="V110" i="1" s="1"/>
  <c r="T110" i="1" s="1"/>
  <c r="M111" i="1"/>
  <c r="V111" i="1" s="1"/>
  <c r="T111" i="1" s="1"/>
  <c r="M112" i="1"/>
  <c r="V112" i="1" s="1"/>
  <c r="T112" i="1" s="1"/>
  <c r="M113" i="1"/>
  <c r="V113" i="1" s="1"/>
  <c r="T113" i="1" s="1"/>
  <c r="K135" i="1"/>
  <c r="R15" i="1"/>
  <c r="R124" i="1" s="1"/>
  <c r="V18" i="1"/>
  <c r="T18" i="1" s="1"/>
  <c r="K139" i="1"/>
  <c r="K140" i="1"/>
  <c r="K131" i="1"/>
  <c r="N16" i="1"/>
  <c r="U15" i="1" l="1"/>
  <c r="U124" i="1" s="1"/>
  <c r="O15" i="1"/>
  <c r="O124" i="1" s="1"/>
  <c r="U132" i="1"/>
  <c r="F124" i="1"/>
  <c r="G124" i="1" s="1"/>
  <c r="P15" i="1"/>
  <c r="P124" i="1" s="1"/>
  <c r="U130" i="1" s="1"/>
  <c r="M108" i="1"/>
  <c r="G15" i="1"/>
  <c r="K137" i="1"/>
  <c r="M99" i="1"/>
  <c r="M96" i="1" s="1"/>
  <c r="N15" i="1"/>
  <c r="N124" i="1" s="1"/>
  <c r="M16" i="1"/>
  <c r="V20" i="1"/>
  <c r="T20" i="1" s="1"/>
  <c r="T99" i="1"/>
  <c r="T96" i="1" s="1"/>
  <c r="V99" i="1"/>
  <c r="V96" i="1" s="1"/>
  <c r="T109" i="1"/>
  <c r="T108" i="1" s="1"/>
  <c r="V108" i="1"/>
  <c r="T19" i="1"/>
  <c r="U131" i="1" l="1"/>
  <c r="T16" i="1"/>
  <c r="T15" i="1" s="1"/>
  <c r="T124" i="1" s="1"/>
  <c r="M15" i="1"/>
  <c r="M124" i="1" s="1"/>
  <c r="V16" i="1"/>
  <c r="V15" i="1" s="1"/>
  <c r="V124" i="1" s="1"/>
  <c r="J124" i="1"/>
  <c r="Y124" i="1" s="1"/>
  <c r="Y114" i="1"/>
  <c r="K124" i="1"/>
  <c r="Z124" i="1" s="1"/>
  <c r="Z114" i="1"/>
  <c r="L124" i="1"/>
</calcChain>
</file>

<file path=xl/sharedStrings.xml><?xml version="1.0" encoding="utf-8"?>
<sst xmlns="http://schemas.openxmlformats.org/spreadsheetml/2006/main" count="480" uniqueCount="262">
  <si>
    <t>План учебного процесса</t>
  </si>
  <si>
    <t>Красный текст заменить</t>
  </si>
  <si>
    <t>бакалавриат</t>
  </si>
  <si>
    <t>Шифр дисцип-лины</t>
  </si>
  <si>
    <t>Название дисциплины</t>
  </si>
  <si>
    <t>Кафедра</t>
  </si>
  <si>
    <t>Семестр</t>
  </si>
  <si>
    <t>Зачетные единицы</t>
  </si>
  <si>
    <r>
      <t xml:space="preserve">Всего часов </t>
    </r>
    <r>
      <rPr>
        <sz val="10"/>
        <rFont val="Arial"/>
        <family val="2"/>
        <charset val="204"/>
      </rPr>
      <t>(недель для практик)</t>
    </r>
  </si>
  <si>
    <t>Форма  контроля</t>
  </si>
  <si>
    <t>Контактная работа с преподавателем</t>
  </si>
  <si>
    <t>Самостоятельная работа</t>
  </si>
  <si>
    <t xml:space="preserve">    Всего контакт. Работы</t>
  </si>
  <si>
    <t>Инд. работа с препод.</t>
  </si>
  <si>
    <t>Экзамен, включая консультации</t>
  </si>
  <si>
    <t xml:space="preserve">Аудиторная работа </t>
  </si>
  <si>
    <t>экзамен</t>
  </si>
  <si>
    <t>зачет</t>
  </si>
  <si>
    <t>курс. проект</t>
  </si>
  <si>
    <t>курс. работа</t>
  </si>
  <si>
    <t>рз.,ргр, реф.</t>
  </si>
  <si>
    <t>всего</t>
  </si>
  <si>
    <t>лекции</t>
  </si>
  <si>
    <t>практические занятия</t>
  </si>
  <si>
    <t>лабораторные занятия</t>
  </si>
  <si>
    <t>Примечания:</t>
  </si>
  <si>
    <t>Проверки:</t>
  </si>
  <si>
    <t>Всего</t>
  </si>
  <si>
    <t>Подготовка к экзамену</t>
  </si>
  <si>
    <t>Текущая самостоятельная работа</t>
  </si>
  <si>
    <t>желтые строки - суммирующие, розовые столбцы - вычисляемые; при необходимости увеличить количество дисциплин надо вставить строки в середине между желтыми суммирующими строками</t>
  </si>
  <si>
    <t>На КП-60</t>
  </si>
  <si>
    <t>На КР-40</t>
  </si>
  <si>
    <t>Блок 1. Дисциплины (модули)</t>
  </si>
  <si>
    <t>Курсовой проект, курсовая работа, рз, ргр, рефераты отмечать знаком "+"</t>
  </si>
  <si>
    <t>Б.1. Б</t>
  </si>
  <si>
    <t>Зачет отмечать знаком "+" или буквой "д"(диф. зачет)</t>
  </si>
  <si>
    <t xml:space="preserve">Иностранный язык               </t>
  </si>
  <si>
    <t>ИЯ</t>
  </si>
  <si>
    <t xml:space="preserve">    </t>
  </si>
  <si>
    <t>+</t>
  </si>
  <si>
    <t>д</t>
  </si>
  <si>
    <t>*Выбрать нужное название</t>
  </si>
  <si>
    <t xml:space="preserve">Математика              </t>
  </si>
  <si>
    <t>ВМ</t>
  </si>
  <si>
    <t xml:space="preserve">Физика                         </t>
  </si>
  <si>
    <t>Ф</t>
  </si>
  <si>
    <t>ФВ</t>
  </si>
  <si>
    <t>Б.1. В</t>
  </si>
  <si>
    <t xml:space="preserve">Прикладная физическая культура (элективные дисциплины по физической культуре и спорту)          </t>
  </si>
  <si>
    <t>Прикладная физическая культура</t>
  </si>
  <si>
    <t>Для практик (кроме НИР) поля по часам самостоятельной и контактной (аудиторной) работы не заполняются</t>
  </si>
  <si>
    <t>Б.2. В</t>
  </si>
  <si>
    <t>Б.2. В01</t>
  </si>
  <si>
    <t>4 нед</t>
  </si>
  <si>
    <t>* типы производственной практики прописаны во ФГОС и выбираются оттуда. Если ничего не указано,выделенное фиолетовым можно убрать.</t>
  </si>
  <si>
    <t>Практика производственная преддипломная</t>
  </si>
  <si>
    <t>Блок 3. Государственная итоговая аттестация</t>
  </si>
  <si>
    <t>Итого:</t>
  </si>
  <si>
    <t>Теоретическое обучение, нед.</t>
  </si>
  <si>
    <t>Сесcии, нед</t>
  </si>
  <si>
    <t>Теоретическое обучение, включая сессии, нед.</t>
  </si>
  <si>
    <t>Содержание, зач. ед.</t>
  </si>
  <si>
    <t>Кол-во ауд.часов в нед.</t>
  </si>
  <si>
    <t>Блок 1. Дисциплины</t>
  </si>
  <si>
    <t>Процент лекционных занятий:</t>
  </si>
  <si>
    <t>%</t>
  </si>
  <si>
    <t>Процент дисциплин по выбору:</t>
  </si>
  <si>
    <t>в т.ч. дисциплины по выбору</t>
  </si>
  <si>
    <t>Блок 2. Практики, всего:</t>
  </si>
  <si>
    <t>Блок 3. ГИА</t>
  </si>
  <si>
    <t xml:space="preserve">   </t>
  </si>
  <si>
    <t>Всего ЗЕ</t>
  </si>
  <si>
    <t>ФОРМЫ КОНТРОЛЯ, количество</t>
  </si>
  <si>
    <t>Экзамены</t>
  </si>
  <si>
    <t>Зачеты</t>
  </si>
  <si>
    <t>в том числе дифференцированные</t>
  </si>
  <si>
    <t>в том числе зачеты по практикам</t>
  </si>
  <si>
    <t>Курсовые проекты</t>
  </si>
  <si>
    <t>Курсовые работы</t>
  </si>
  <si>
    <t>РГР, реф.</t>
  </si>
  <si>
    <t>=</t>
  </si>
  <si>
    <t xml:space="preserve">Обязательная часть Блока 1 </t>
  </si>
  <si>
    <t xml:space="preserve">Физическая культура и спорт            </t>
  </si>
  <si>
    <t>История</t>
  </si>
  <si>
    <t>Философия</t>
  </si>
  <si>
    <t>ГН</t>
  </si>
  <si>
    <t>Безопасность жизнедеятельности</t>
  </si>
  <si>
    <t>ОТП</t>
  </si>
  <si>
    <t>Часть Блока 1, формируемая участниками образовательных отношений</t>
  </si>
  <si>
    <t>Б.1. В. ДВ</t>
  </si>
  <si>
    <t>Б.1.В.ДВ01</t>
  </si>
  <si>
    <t>Б.1.В01</t>
  </si>
  <si>
    <t>Б.1.В02</t>
  </si>
  <si>
    <t>Б.1.В.ДВ02</t>
  </si>
  <si>
    <t>Б.2. Б</t>
  </si>
  <si>
    <t>Обязательная часть Блока 2</t>
  </si>
  <si>
    <t>Часть Блока 2, формируемая участниками образовательных отношений</t>
  </si>
  <si>
    <t>Б.2. Б03</t>
  </si>
  <si>
    <t>Блок 2. Практика</t>
  </si>
  <si>
    <t>Проректор по ОД и ВР</t>
  </si>
  <si>
    <t>В.А.Голкина</t>
  </si>
  <si>
    <t>в т.ч. часть, формируемая участниками ОО</t>
  </si>
  <si>
    <t xml:space="preserve">Обязательная часть </t>
  </si>
  <si>
    <t xml:space="preserve"> </t>
  </si>
  <si>
    <t>Подготовка к процедуре защиты и защита выпускной квалификационной работы</t>
  </si>
  <si>
    <t>Экономика</t>
  </si>
  <si>
    <t>ТСП</t>
  </si>
  <si>
    <t>Информатика</t>
  </si>
  <si>
    <t>ПМВТ</t>
  </si>
  <si>
    <t>Химия</t>
  </si>
  <si>
    <t>ОФХ</t>
  </si>
  <si>
    <t>Экология</t>
  </si>
  <si>
    <t>ГДС</t>
  </si>
  <si>
    <t>Инженерная графика</t>
  </si>
  <si>
    <t>НГиГ</t>
  </si>
  <si>
    <t>СТК</t>
  </si>
  <si>
    <t>Основы метрологии, стандартизации, сертификации и контроля качества</t>
  </si>
  <si>
    <t>Психология управления коллективом</t>
  </si>
  <si>
    <t>ПО</t>
  </si>
  <si>
    <t>Социология</t>
  </si>
  <si>
    <t>Культурология и этика общения</t>
  </si>
  <si>
    <t>Начертательная геометрия</t>
  </si>
  <si>
    <t>Сопротивление материалов</t>
  </si>
  <si>
    <t xml:space="preserve">Строительная механика    </t>
  </si>
  <si>
    <t xml:space="preserve">Архитектура </t>
  </si>
  <si>
    <t>История развития отрасли</t>
  </si>
  <si>
    <t>Основы автоматизированного проектирования</t>
  </si>
  <si>
    <t>Основы строительной физики</t>
  </si>
  <si>
    <t>Инженерная геодезия</t>
  </si>
  <si>
    <t xml:space="preserve">Инженерная геология          </t>
  </si>
  <si>
    <t>Теоретическая механика</t>
  </si>
  <si>
    <t>Б.1. Б01</t>
  </si>
  <si>
    <t>Практика производственная исполнительская</t>
  </si>
  <si>
    <t>Практика учебная изыскательская (Геодезическая практика)</t>
  </si>
  <si>
    <t>Б.2. Б01</t>
  </si>
  <si>
    <t>Б.2. Б02</t>
  </si>
  <si>
    <t>Б.2. Б04</t>
  </si>
  <si>
    <t>Б.3. Б1</t>
  </si>
  <si>
    <t>Б.1. Б02</t>
  </si>
  <si>
    <t>Б.1. Б03</t>
  </si>
  <si>
    <t>Б.1. Б04</t>
  </si>
  <si>
    <t>Б.1. Б05</t>
  </si>
  <si>
    <t>Б.1. Б06</t>
  </si>
  <si>
    <t>Б.1. Б07</t>
  </si>
  <si>
    <t>Б.1. Б08</t>
  </si>
  <si>
    <t>Б.1. Б09</t>
  </si>
  <si>
    <t>Б.1. Б10</t>
  </si>
  <si>
    <t>Б.1. Б11</t>
  </si>
  <si>
    <t>Б.1. Б12</t>
  </si>
  <si>
    <t>Б.1. Б13</t>
  </si>
  <si>
    <t>Б.1. Б14</t>
  </si>
  <si>
    <t>Б.1. Б15</t>
  </si>
  <si>
    <t>Б.1. Б16</t>
  </si>
  <si>
    <t>Б.1. Б17</t>
  </si>
  <si>
    <t>Б.1. Б18</t>
  </si>
  <si>
    <t>ТМиСМ</t>
  </si>
  <si>
    <t>Б.1. Б19</t>
  </si>
  <si>
    <t>Б.1. Б20</t>
  </si>
  <si>
    <t>Б.1. Б21</t>
  </si>
  <si>
    <t>Б.1. Б22</t>
  </si>
  <si>
    <t>Б.1. Б23</t>
  </si>
  <si>
    <t>Б.1. Б24</t>
  </si>
  <si>
    <t>Б.1. Б26</t>
  </si>
  <si>
    <t>Б.1. Б27</t>
  </si>
  <si>
    <t>Б.1. Б29</t>
  </si>
  <si>
    <t>Б.1. Б30</t>
  </si>
  <si>
    <t>Б.1. Б31</t>
  </si>
  <si>
    <t>Б.1. Б32</t>
  </si>
  <si>
    <t>Б.1. Б33</t>
  </si>
  <si>
    <t>Б.1. Б34</t>
  </si>
  <si>
    <t>Б.1. Б35</t>
  </si>
  <si>
    <t>Б.1. Б36</t>
  </si>
  <si>
    <t>Б.1. Б37</t>
  </si>
  <si>
    <t>Б.1. Б38</t>
  </si>
  <si>
    <t>Б.1. Б40</t>
  </si>
  <si>
    <t>Б.1. Б39</t>
  </si>
  <si>
    <t>Б.1. Б41</t>
  </si>
  <si>
    <t>Б.1. Б42</t>
  </si>
  <si>
    <t>Б.1. Б43</t>
  </si>
  <si>
    <t>Б.1. Б44</t>
  </si>
  <si>
    <t>Б.1. Б45</t>
  </si>
  <si>
    <t>Б1.В.ДВ.04</t>
  </si>
  <si>
    <t>Б.1. Б46</t>
  </si>
  <si>
    <t>Б.1. Б47</t>
  </si>
  <si>
    <t>Направление 08.03.01  "Строительство"</t>
  </si>
  <si>
    <t>Директор института инженеров строительства и транспорта</t>
  </si>
  <si>
    <t>М.А. Абрамов</t>
  </si>
  <si>
    <t>А.Л. Балушкин</t>
  </si>
  <si>
    <t>А.А. Игнатьев</t>
  </si>
  <si>
    <t>Заведующий кафедрой ТСП</t>
  </si>
  <si>
    <t>Заведующий кафедрой СТК</t>
  </si>
  <si>
    <t>6 нед</t>
  </si>
  <si>
    <t>1,5 нед</t>
  </si>
  <si>
    <t>Б.1. Б28</t>
  </si>
  <si>
    <t>Элективные дисциплины (модули)</t>
  </si>
  <si>
    <t>Начальник управления ОК и МОД</t>
  </si>
  <si>
    <t>С.М. Головлева</t>
  </si>
  <si>
    <t>Профиль: "Пространственное проектирование, градостроительное зонирование и планировка территории"</t>
  </si>
  <si>
    <t>08.03.01 ТС – 2021</t>
  </si>
  <si>
    <t>Природные и строительные материалы</t>
  </si>
  <si>
    <t xml:space="preserve">Строительные конструкции        </t>
  </si>
  <si>
    <t xml:space="preserve">Строительные конструкции          </t>
  </si>
  <si>
    <t xml:space="preserve">Строительные конструкции       </t>
  </si>
  <si>
    <t>Механизация строительства</t>
  </si>
  <si>
    <t xml:space="preserve">Водоснабжение и водоотведение с основами гидравлики              </t>
  </si>
  <si>
    <t>Общее землеведение</t>
  </si>
  <si>
    <t>Инженерная гидрология и гидрометрия</t>
  </si>
  <si>
    <t>Общая теория устойчивого развития</t>
  </si>
  <si>
    <t xml:space="preserve">Современные цифровые технологии и визуализация данных </t>
  </si>
  <si>
    <t>Основы урбанистики</t>
  </si>
  <si>
    <t>Инженерно-геологическое обеспечение строительства</t>
  </si>
  <si>
    <t>Зеленая инфраструктура и ее устойчивость</t>
  </si>
  <si>
    <t>Технология и организация строительства зданий и сооружений</t>
  </si>
  <si>
    <t>Защитные сооружения, основания и фундаменты</t>
  </si>
  <si>
    <t>Антропо-природные и природно-совместимые технологии</t>
  </si>
  <si>
    <t>Базы данных в пространственном планировании и строительстве</t>
  </si>
  <si>
    <t>Строительство и эксплуатация дорог</t>
  </si>
  <si>
    <t>Правоведение. Основы законодательства в пространственном планировании и строительстве.</t>
  </si>
  <si>
    <t>Линейная инфраструктура и ее безопасность</t>
  </si>
  <si>
    <t xml:space="preserve">Рекреационное обустройство территории </t>
  </si>
  <si>
    <t xml:space="preserve">Пространственная организация территории и градостроительное зонирование </t>
  </si>
  <si>
    <t xml:space="preserve">Основы ГИС в пространственном планировании и строительстве      </t>
  </si>
  <si>
    <t>Инженерные сооружения</t>
  </si>
  <si>
    <t>Ландшафтное проектирование с основами ландшафтоведения</t>
  </si>
  <si>
    <t>Основы природно-ресурсной экономики</t>
  </si>
  <si>
    <t>Инженерные сети</t>
  </si>
  <si>
    <t>ГИС технологии и использование аэрокосмической информации</t>
  </si>
  <si>
    <t xml:space="preserve">Водная инфраструктура и ее устойчивость           </t>
  </si>
  <si>
    <t xml:space="preserve">Планирование и проектирование антропо-природных комплексов и инфраструктуры         </t>
  </si>
  <si>
    <t>Основы управления в строительном комплексе и пространственном проектировании</t>
  </si>
  <si>
    <t>Сметное дело в строительстве и эксплуатации объектов и сооружений</t>
  </si>
  <si>
    <t xml:space="preserve">Автоматизированное проектирование сооружений и антропо-природных комплексов             </t>
  </si>
  <si>
    <t>Благоустройство и дизайн территории</t>
  </si>
  <si>
    <t>Экологическое строительство и энергосбережение</t>
  </si>
  <si>
    <t>Государственное и муниципальное управление с основами межведомственной координации</t>
  </si>
  <si>
    <t>Управление, основанное на данных</t>
  </si>
  <si>
    <t>Возобновляемые источники энергии</t>
  </si>
  <si>
    <t>Стандарты и нормы пространственного планирования и проектирования</t>
  </si>
  <si>
    <t>Основы планирования и комплексного обустройства промышленных территорий</t>
  </si>
  <si>
    <t>Основы землеустроительных и кадастровых работ</t>
  </si>
  <si>
    <t>Основы планирования и комплексного обустройства зон особой охраны</t>
  </si>
  <si>
    <t>Правовые и организационные аспекты деятельности территориального управления</t>
  </si>
  <si>
    <t>Б.1. Б48</t>
  </si>
  <si>
    <t>Б.1. Б49</t>
  </si>
  <si>
    <t>Б.1. Б50</t>
  </si>
  <si>
    <t>Б.1. Б51</t>
  </si>
  <si>
    <t>Б.1. Б52</t>
  </si>
  <si>
    <t>Б.1. Б53</t>
  </si>
  <si>
    <t>Б.1. Б54</t>
  </si>
  <si>
    <t>Б.1. Б55</t>
  </si>
  <si>
    <t>Б.1. Б56</t>
  </si>
  <si>
    <t>Б.1. Б57</t>
  </si>
  <si>
    <t>Б.1. Б58</t>
  </si>
  <si>
    <t>Б.1. Б59</t>
  </si>
  <si>
    <t>Б.1. Б60</t>
  </si>
  <si>
    <t>Б.1. Б61</t>
  </si>
  <si>
    <t>Б.1. Б62</t>
  </si>
  <si>
    <t>Введение в специальность</t>
  </si>
  <si>
    <t xml:space="preserve">Практика учебная ознакомительная </t>
  </si>
  <si>
    <t>Практика учебная изыскательская (Гидрогеологическая практика)</t>
  </si>
  <si>
    <t>Б.1. Б25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</si>
</sst>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6"/>
      <color indexed="8"/>
      <name val="Arial"/>
      <family val="2"/>
      <charset val="204"/>
    </font>
    <font>
      <b/>
      <sz val="1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ill="0" applyBorder="0" applyAlignment="0" applyProtection="0"/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0" fontId="4" fillId="0" borderId="0"/>
    <xf numFmtId="0" fontId="2" fillId="0" borderId="0"/>
    <xf numFmtId="0" fontId="2" fillId="0" borderId="0"/>
    <xf numFmtId="0" fontId="2" fillId="0" borderId="0"/>
  </cellStyleXfs>
  <cellXfs count="356">
    <xf numFmtId="0" fontId="0" fillId="0" borderId="0" xfId="0"/>
    <xf numFmtId="164" fontId="3" fillId="0" borderId="0" xfId="1" applyFont="1" applyFill="1" applyBorder="1" applyAlignment="1"/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/>
    <xf numFmtId="0" fontId="5" fillId="0" borderId="0" xfId="0" applyFont="1" applyFill="1" applyAlignment="1">
      <alignment horizontal="center" vertical="center"/>
    </xf>
    <xf numFmtId="0" fontId="1" fillId="0" borderId="1" xfId="0" applyFont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2" xfId="0" applyFont="1" applyBorder="1" applyProtection="1">
      <protection hidden="1"/>
    </xf>
    <xf numFmtId="0" fontId="6" fillId="0" borderId="0" xfId="0" applyFont="1" applyProtection="1"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Border="1" applyAlignment="1"/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0" borderId="0" xfId="0" applyFont="1" applyFill="1" applyBorder="1" applyAlignment="1" applyProtection="1">
      <protection hidden="1"/>
    </xf>
    <xf numFmtId="0" fontId="1" fillId="0" borderId="0" xfId="0" applyFont="1" applyFill="1"/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0" fontId="8" fillId="2" borderId="35" xfId="2" applyFont="1" applyFill="1" applyBorder="1" applyAlignment="1">
      <alignment horizontal="center" vertical="center" textRotation="90"/>
    </xf>
    <xf numFmtId="0" fontId="8" fillId="2" borderId="36" xfId="2" applyFont="1" applyFill="1" applyBorder="1" applyAlignment="1">
      <alignment horizontal="center" vertical="center" textRotation="90"/>
    </xf>
    <xf numFmtId="0" fontId="6" fillId="0" borderId="37" xfId="2" applyFont="1" applyBorder="1" applyAlignment="1">
      <alignment horizontal="center" vertical="center" textRotation="90" wrapText="1"/>
    </xf>
    <xf numFmtId="0" fontId="1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2" borderId="38" xfId="0" applyFont="1" applyFill="1" applyBorder="1" applyAlignment="1">
      <alignment horizontal="left" vertical="top"/>
    </xf>
    <xf numFmtId="0" fontId="8" fillId="2" borderId="39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/>
    </xf>
    <xf numFmtId="0" fontId="1" fillId="0" borderId="4" xfId="0" applyFont="1" applyFill="1" applyBorder="1"/>
    <xf numFmtId="0" fontId="8" fillId="2" borderId="39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right"/>
    </xf>
    <xf numFmtId="0" fontId="8" fillId="2" borderId="40" xfId="0" applyFont="1" applyFill="1" applyBorder="1" applyAlignment="1">
      <alignment horizontal="right"/>
    </xf>
    <xf numFmtId="0" fontId="8" fillId="2" borderId="38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 hidden="1"/>
    </xf>
    <xf numFmtId="0" fontId="5" fillId="3" borderId="41" xfId="0" applyFont="1" applyFill="1" applyBorder="1" applyAlignment="1">
      <alignment horizontal="left" vertical="top"/>
    </xf>
    <xf numFmtId="0" fontId="10" fillId="3" borderId="42" xfId="0" applyFont="1" applyFill="1" applyBorder="1" applyAlignment="1">
      <alignment horizontal="left" vertical="top"/>
    </xf>
    <xf numFmtId="0" fontId="10" fillId="3" borderId="13" xfId="0" applyFont="1" applyFill="1" applyBorder="1" applyAlignment="1">
      <alignment horizontal="left" vertical="top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" fillId="0" borderId="2" xfId="0" applyFont="1" applyBorder="1" applyAlignment="1" applyProtection="1">
      <protection hidden="1"/>
    </xf>
    <xf numFmtId="0" fontId="11" fillId="3" borderId="12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3" fillId="5" borderId="44" xfId="3" applyFont="1" applyFill="1" applyBorder="1" applyAlignment="1" applyProtection="1">
      <alignment vertical="center" wrapText="1"/>
      <protection locked="0"/>
    </xf>
    <xf numFmtId="0" fontId="3" fillId="5" borderId="44" xfId="3" applyFont="1" applyFill="1" applyBorder="1" applyAlignment="1" applyProtection="1">
      <alignment horizontal="center" vertical="center"/>
      <protection locked="0"/>
    </xf>
    <xf numFmtId="0" fontId="8" fillId="5" borderId="44" xfId="4" applyFont="1" applyFill="1" applyBorder="1" applyAlignment="1" applyProtection="1">
      <alignment horizontal="center" vertical="center"/>
      <protection locked="0"/>
    </xf>
    <xf numFmtId="0" fontId="8" fillId="5" borderId="42" xfId="4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0" fontId="8" fillId="5" borderId="12" xfId="0" applyNumberFormat="1" applyFont="1" applyFill="1" applyBorder="1" applyAlignment="1" applyProtection="1">
      <alignment horizontal="center" vertical="center"/>
      <protection locked="0"/>
    </xf>
    <xf numFmtId="0" fontId="8" fillId="5" borderId="13" xfId="0" applyNumberFormat="1" applyFont="1" applyFill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center" vertical="center"/>
      <protection locked="0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46" xfId="5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3" fillId="0" borderId="44" xfId="3" applyFont="1" applyFill="1" applyBorder="1" applyAlignment="1" applyProtection="1">
      <alignment vertical="center" wrapText="1"/>
      <protection locked="0"/>
    </xf>
    <xf numFmtId="0" fontId="3" fillId="0" borderId="44" xfId="3" applyFont="1" applyFill="1" applyBorder="1" applyAlignment="1" applyProtection="1">
      <alignment horizontal="center" vertical="center"/>
      <protection locked="0"/>
    </xf>
    <xf numFmtId="0" fontId="8" fillId="0" borderId="44" xfId="4" applyFont="1" applyFill="1" applyBorder="1" applyAlignment="1" applyProtection="1">
      <alignment horizontal="center" vertical="center"/>
      <protection locked="0"/>
    </xf>
    <xf numFmtId="0" fontId="8" fillId="0" borderId="42" xfId="4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6" borderId="2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0" borderId="46" xfId="5" applyFont="1" applyFill="1" applyBorder="1" applyAlignment="1" applyProtection="1">
      <alignment horizontal="center" vertical="center"/>
      <protection locked="0"/>
    </xf>
    <xf numFmtId="0" fontId="3" fillId="0" borderId="44" xfId="6" applyFont="1" applyFill="1" applyBorder="1" applyAlignment="1" applyProtection="1">
      <alignment vertical="center" wrapText="1"/>
      <protection locked="0"/>
    </xf>
    <xf numFmtId="0" fontId="3" fillId="0" borderId="44" xfId="6" applyFont="1" applyFill="1" applyBorder="1" applyAlignment="1" applyProtection="1">
      <alignment horizontal="center" vertical="center"/>
      <protection locked="0"/>
    </xf>
    <xf numFmtId="0" fontId="8" fillId="0" borderId="44" xfId="6" applyFont="1" applyFill="1" applyBorder="1" applyAlignment="1" applyProtection="1">
      <alignment horizontal="center" vertical="center"/>
      <protection locked="0"/>
    </xf>
    <xf numFmtId="0" fontId="8" fillId="0" borderId="42" xfId="6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/>
      <protection hidden="1"/>
    </xf>
    <xf numFmtId="0" fontId="3" fillId="0" borderId="44" xfId="6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8" fillId="0" borderId="46" xfId="7" applyFont="1" applyFill="1" applyBorder="1" applyAlignment="1" applyProtection="1">
      <alignment horizontal="center" vertical="center"/>
      <protection locked="0"/>
    </xf>
    <xf numFmtId="0" fontId="8" fillId="6" borderId="26" xfId="0" applyNumberFormat="1" applyFont="1" applyFill="1" applyBorder="1" applyAlignment="1">
      <alignment horizontal="center" vertical="center"/>
    </xf>
    <xf numFmtId="0" fontId="8" fillId="0" borderId="13" xfId="7" applyFont="1" applyFill="1" applyBorder="1" applyAlignment="1" applyProtection="1">
      <alignment horizontal="center" vertical="center"/>
      <protection locked="0"/>
    </xf>
    <xf numFmtId="0" fontId="8" fillId="0" borderId="22" xfId="7" applyFont="1" applyFill="1" applyBorder="1" applyAlignment="1" applyProtection="1">
      <alignment horizontal="center" vertical="center"/>
      <protection locked="0"/>
    </xf>
    <xf numFmtId="0" fontId="3" fillId="0" borderId="13" xfId="6" applyFont="1" applyFill="1" applyBorder="1" applyAlignment="1" applyProtection="1">
      <alignment horizontal="center" vertical="center"/>
      <protection locked="0"/>
    </xf>
    <xf numFmtId="0" fontId="8" fillId="0" borderId="51" xfId="9" applyFont="1" applyFill="1" applyBorder="1" applyAlignment="1" applyProtection="1">
      <alignment horizontal="center" vertical="center"/>
      <protection locked="0"/>
    </xf>
    <xf numFmtId="0" fontId="8" fillId="0" borderId="46" xfId="9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center" vertical="center"/>
    </xf>
    <xf numFmtId="0" fontId="8" fillId="6" borderId="26" xfId="0" applyNumberFormat="1" applyFont="1" applyFill="1" applyBorder="1" applyAlignment="1" applyProtection="1">
      <alignment horizontal="center" vertical="center"/>
    </xf>
    <xf numFmtId="0" fontId="8" fillId="6" borderId="12" xfId="0" applyNumberFormat="1" applyFont="1" applyFill="1" applyBorder="1" applyAlignment="1" applyProtection="1">
      <alignment horizontal="center" vertical="center"/>
    </xf>
    <xf numFmtId="0" fontId="3" fillId="7" borderId="44" xfId="3" applyFont="1" applyFill="1" applyBorder="1" applyAlignment="1" applyProtection="1">
      <alignment vertical="center" wrapText="1"/>
      <protection locked="0"/>
    </xf>
    <xf numFmtId="0" fontId="3" fillId="7" borderId="44" xfId="3" applyFont="1" applyFill="1" applyBorder="1" applyAlignment="1" applyProtection="1">
      <alignment horizontal="center" vertical="center"/>
      <protection locked="0"/>
    </xf>
    <xf numFmtId="0" fontId="13" fillId="7" borderId="53" xfId="0" applyFont="1" applyFill="1" applyBorder="1" applyAlignment="1" applyProtection="1">
      <alignment horizontal="center" vertical="center"/>
      <protection locked="0"/>
    </xf>
    <xf numFmtId="0" fontId="13" fillId="7" borderId="13" xfId="0" applyFont="1" applyFill="1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>
      <alignment horizontal="center" vertical="center"/>
    </xf>
    <xf numFmtId="0" fontId="13" fillId="7" borderId="12" xfId="0" applyFont="1" applyFill="1" applyBorder="1" applyAlignment="1" applyProtection="1">
      <alignment horizontal="center" vertical="center"/>
      <protection locked="0"/>
    </xf>
    <xf numFmtId="0" fontId="13" fillId="7" borderId="22" xfId="0" applyFont="1" applyFill="1" applyBorder="1" applyAlignment="1" applyProtection="1">
      <alignment horizontal="center" vertical="center"/>
      <protection locked="0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2" xfId="0" applyNumberFormat="1" applyFont="1" applyFill="1" applyBorder="1" applyAlignment="1" applyProtection="1">
      <alignment horizontal="center" vertical="center"/>
    </xf>
    <xf numFmtId="0" fontId="8" fillId="7" borderId="54" xfId="9" applyFont="1" applyFill="1" applyBorder="1" applyAlignment="1" applyProtection="1">
      <alignment horizontal="center" vertical="center"/>
      <protection locked="0"/>
    </xf>
    <xf numFmtId="0" fontId="8" fillId="7" borderId="52" xfId="9" applyFont="1" applyFill="1" applyBorder="1" applyAlignment="1" applyProtection="1">
      <alignment horizontal="center" vertical="center"/>
      <protection locked="0"/>
    </xf>
    <xf numFmtId="0" fontId="8" fillId="7" borderId="44" xfId="4" applyFont="1" applyFill="1" applyBorder="1" applyAlignment="1" applyProtection="1">
      <alignment horizontal="center" vertical="center"/>
      <protection locked="0"/>
    </xf>
    <xf numFmtId="0" fontId="8" fillId="7" borderId="42" xfId="4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0" fontId="8" fillId="7" borderId="12" xfId="0" applyNumberFormat="1" applyFont="1" applyFill="1" applyBorder="1" applyAlignment="1" applyProtection="1">
      <alignment horizontal="center" vertical="center"/>
      <protection locked="0"/>
    </xf>
    <xf numFmtId="0" fontId="8" fillId="7" borderId="13" xfId="0" applyNumberFormat="1" applyFont="1" applyFill="1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 applyProtection="1">
      <alignment horizontal="center" vertical="center"/>
      <protection locked="0"/>
    </xf>
    <xf numFmtId="0" fontId="8" fillId="7" borderId="27" xfId="0" applyFont="1" applyFill="1" applyBorder="1" applyAlignment="1">
      <alignment horizontal="center" vertical="center"/>
    </xf>
    <xf numFmtId="0" fontId="8" fillId="7" borderId="46" xfId="5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/>
    <xf numFmtId="0" fontId="15" fillId="3" borderId="13" xfId="0" applyFont="1" applyFill="1" applyBorder="1"/>
    <xf numFmtId="0" fontId="1" fillId="0" borderId="2" xfId="0" applyFont="1" applyBorder="1" applyAlignment="1" applyProtection="1">
      <alignment wrapText="1"/>
      <protection hidden="1"/>
    </xf>
    <xf numFmtId="0" fontId="7" fillId="3" borderId="12" xfId="0" applyFont="1" applyFill="1" applyBorder="1" applyAlignment="1">
      <alignment horizontal="left" vertical="center"/>
    </xf>
    <xf numFmtId="0" fontId="13" fillId="0" borderId="0" xfId="0" applyFont="1" applyFill="1" applyBorder="1" applyProtection="1">
      <protection hidden="1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3" fillId="8" borderId="22" xfId="0" applyFont="1" applyFill="1" applyBorder="1" applyAlignment="1" applyProtection="1">
      <alignment horizontal="center" vertical="center"/>
      <protection locked="0"/>
    </xf>
    <xf numFmtId="0" fontId="13" fillId="8" borderId="43" xfId="0" applyFont="1" applyFill="1" applyBorder="1" applyAlignment="1" applyProtection="1">
      <alignment horizontal="center" vertical="center"/>
      <protection locked="0"/>
    </xf>
    <xf numFmtId="0" fontId="13" fillId="8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vertical="center" wrapText="1"/>
    </xf>
    <xf numFmtId="0" fontId="1" fillId="0" borderId="2" xfId="0" applyFont="1" applyBorder="1" applyAlignment="1" applyProtection="1">
      <alignment vertical="top" wrapText="1"/>
      <protection hidden="1"/>
    </xf>
    <xf numFmtId="0" fontId="15" fillId="0" borderId="0" xfId="0" applyFont="1" applyFill="1" applyBorder="1" applyProtection="1">
      <protection hidden="1"/>
    </xf>
    <xf numFmtId="0" fontId="16" fillId="0" borderId="1" xfId="0" applyFont="1" applyFill="1" applyBorder="1" applyAlignment="1">
      <alignment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vertical="center"/>
      <protection locked="0"/>
    </xf>
    <xf numFmtId="0" fontId="13" fillId="0" borderId="56" xfId="0" applyFont="1" applyBorder="1"/>
    <xf numFmtId="0" fontId="13" fillId="0" borderId="1" xfId="0" applyFont="1" applyBorder="1"/>
    <xf numFmtId="0" fontId="13" fillId="0" borderId="58" xfId="0" applyFont="1" applyBorder="1"/>
    <xf numFmtId="0" fontId="13" fillId="0" borderId="59" xfId="0" applyFont="1" applyBorder="1"/>
    <xf numFmtId="0" fontId="13" fillId="0" borderId="57" xfId="0" applyFont="1" applyBorder="1"/>
    <xf numFmtId="0" fontId="13" fillId="0" borderId="0" xfId="0" applyFont="1" applyBorder="1" applyProtection="1">
      <protection hidden="1"/>
    </xf>
    <xf numFmtId="0" fontId="13" fillId="3" borderId="60" xfId="0" applyFont="1" applyFill="1" applyBorder="1"/>
    <xf numFmtId="0" fontId="13" fillId="3" borderId="61" xfId="0" applyFont="1" applyFill="1" applyBorder="1" applyAlignment="1">
      <alignment wrapText="1"/>
    </xf>
    <xf numFmtId="0" fontId="15" fillId="3" borderId="61" xfId="0" applyFont="1" applyFill="1" applyBorder="1"/>
    <xf numFmtId="0" fontId="15" fillId="3" borderId="61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Fill="1" applyBorder="1"/>
    <xf numFmtId="0" fontId="13" fillId="3" borderId="13" xfId="0" applyFont="1" applyFill="1" applyBorder="1"/>
    <xf numFmtId="0" fontId="13" fillId="3" borderId="13" xfId="0" applyFont="1" applyFill="1" applyBorder="1" applyAlignment="1">
      <alignment horizontal="center" vertical="center"/>
    </xf>
    <xf numFmtId="0" fontId="13" fillId="0" borderId="13" xfId="0" applyFont="1" applyFill="1" applyBorder="1"/>
    <xf numFmtId="0" fontId="13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center"/>
    </xf>
    <xf numFmtId="2" fontId="13" fillId="0" borderId="0" xfId="0" applyNumberFormat="1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13" xfId="0" applyFont="1" applyBorder="1"/>
    <xf numFmtId="0" fontId="1" fillId="0" borderId="13" xfId="0" applyFont="1" applyBorder="1"/>
    <xf numFmtId="0" fontId="15" fillId="0" borderId="13" xfId="0" applyFont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left"/>
    </xf>
    <xf numFmtId="0" fontId="1" fillId="0" borderId="0" xfId="0" applyFont="1" applyBorder="1"/>
    <xf numFmtId="0" fontId="18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" fillId="0" borderId="27" xfId="0" applyFont="1" applyBorder="1" applyProtection="1">
      <protection hidden="1"/>
    </xf>
    <xf numFmtId="0" fontId="18" fillId="0" borderId="55" xfId="0" applyFont="1" applyBorder="1" applyAlignment="1" applyProtection="1">
      <alignment horizontal="center"/>
      <protection locked="0"/>
    </xf>
    <xf numFmtId="0" fontId="1" fillId="0" borderId="55" xfId="0" applyFont="1" applyBorder="1" applyProtection="1">
      <protection locked="0"/>
    </xf>
    <xf numFmtId="0" fontId="18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15" fillId="3" borderId="16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5" fillId="3" borderId="56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/>
    </xf>
    <xf numFmtId="0" fontId="15" fillId="3" borderId="6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8" fillId="5" borderId="50" xfId="0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5" borderId="26" xfId="0" applyNumberFormat="1" applyFont="1" applyFill="1" applyBorder="1" applyAlignment="1">
      <alignment horizontal="center" vertical="center"/>
    </xf>
    <xf numFmtId="0" fontId="8" fillId="5" borderId="67" xfId="5" applyFont="1" applyFill="1" applyBorder="1" applyAlignment="1" applyProtection="1">
      <alignment horizontal="center" vertical="center"/>
      <protection locked="0"/>
    </xf>
    <xf numFmtId="0" fontId="8" fillId="0" borderId="67" xfId="5" applyFont="1" applyFill="1" applyBorder="1" applyAlignment="1" applyProtection="1">
      <alignment horizontal="center" vertical="center"/>
      <protection locked="0"/>
    </xf>
    <xf numFmtId="0" fontId="8" fillId="7" borderId="68" xfId="9" applyFont="1" applyFill="1" applyBorder="1" applyAlignment="1" applyProtection="1">
      <alignment horizontal="center" vertical="center"/>
      <protection locked="0"/>
    </xf>
    <xf numFmtId="0" fontId="8" fillId="7" borderId="67" xfId="5" applyFont="1" applyFill="1" applyBorder="1" applyAlignment="1" applyProtection="1">
      <alignment horizontal="center" vertical="center"/>
      <protection locked="0"/>
    </xf>
    <xf numFmtId="0" fontId="15" fillId="3" borderId="43" xfId="0" applyFont="1" applyFill="1" applyBorder="1" applyAlignment="1">
      <alignment wrapText="1"/>
    </xf>
    <xf numFmtId="0" fontId="8" fillId="5" borderId="16" xfId="0" applyFont="1" applyFill="1" applyBorder="1" applyAlignment="1">
      <alignment horizontal="center" vertical="center"/>
    </xf>
    <xf numFmtId="0" fontId="15" fillId="3" borderId="64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/>
    </xf>
    <xf numFmtId="0" fontId="7" fillId="3" borderId="7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 wrapText="1"/>
    </xf>
    <xf numFmtId="0" fontId="8" fillId="6" borderId="45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45" xfId="0" applyNumberFormat="1" applyFont="1" applyFill="1" applyBorder="1" applyAlignment="1">
      <alignment horizontal="center" vertical="center"/>
    </xf>
    <xf numFmtId="0" fontId="3" fillId="0" borderId="51" xfId="3" applyFont="1" applyFill="1" applyBorder="1" applyAlignment="1" applyProtection="1">
      <alignment vertical="center" wrapText="1"/>
      <protection locked="0"/>
    </xf>
    <xf numFmtId="0" fontId="8" fillId="6" borderId="45" xfId="0" applyNumberFormat="1" applyFont="1" applyFill="1" applyBorder="1" applyAlignment="1" applyProtection="1">
      <alignment horizontal="center" vertical="center"/>
    </xf>
    <xf numFmtId="0" fontId="3" fillId="0" borderId="44" xfId="1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65" xfId="9" applyFont="1" applyFill="1" applyBorder="1" applyAlignment="1" applyProtection="1">
      <alignment horizontal="center" vertical="center"/>
      <protection locked="0"/>
    </xf>
    <xf numFmtId="0" fontId="3" fillId="0" borderId="72" xfId="3" applyFont="1" applyFill="1" applyBorder="1" applyAlignment="1" applyProtection="1">
      <alignment vertical="center" wrapText="1"/>
      <protection locked="0"/>
    </xf>
    <xf numFmtId="0" fontId="8" fillId="0" borderId="49" xfId="9" applyFont="1" applyFill="1" applyBorder="1" applyAlignment="1" applyProtection="1">
      <alignment horizontal="center" vertical="center"/>
      <protection locked="0"/>
    </xf>
    <xf numFmtId="0" fontId="3" fillId="0" borderId="13" xfId="10" applyFont="1" applyFill="1" applyBorder="1" applyAlignment="1" applyProtection="1">
      <alignment horizontal="left" vertical="center" wrapText="1"/>
      <protection locked="0"/>
    </xf>
    <xf numFmtId="0" fontId="8" fillId="0" borderId="71" xfId="9" applyFont="1" applyFill="1" applyBorder="1" applyAlignment="1" applyProtection="1">
      <alignment horizontal="center" vertical="center"/>
      <protection locked="0"/>
    </xf>
    <xf numFmtId="0" fontId="3" fillId="0" borderId="13" xfId="6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>
      <alignment horizontal="center" vertical="center"/>
    </xf>
    <xf numFmtId="0" fontId="19" fillId="0" borderId="44" xfId="3" applyFont="1" applyFill="1" applyBorder="1" applyAlignment="1" applyProtection="1">
      <alignment horizontal="center" vertical="center"/>
      <protection locked="0"/>
    </xf>
    <xf numFmtId="0" fontId="3" fillId="0" borderId="44" xfId="1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16" fillId="0" borderId="13" xfId="0" applyFont="1" applyFill="1" applyBorder="1" applyAlignment="1" applyProtection="1">
      <alignment vertical="top" wrapText="1"/>
      <protection locked="0"/>
    </xf>
    <xf numFmtId="0" fontId="16" fillId="0" borderId="65" xfId="0" applyFont="1" applyFill="1" applyBorder="1" applyAlignment="1" applyProtection="1">
      <alignment vertical="top" wrapText="1"/>
      <protection locked="0"/>
    </xf>
    <xf numFmtId="0" fontId="6" fillId="0" borderId="0" xfId="0" applyFont="1"/>
    <xf numFmtId="0" fontId="6" fillId="0" borderId="0" xfId="0" applyFont="1" applyFill="1" applyBorder="1" applyAlignment="1" applyProtection="1">
      <protection locked="0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/>
      <protection locked="0"/>
    </xf>
    <xf numFmtId="0" fontId="17" fillId="0" borderId="56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center" vertical="center"/>
    </xf>
    <xf numFmtId="0" fontId="8" fillId="0" borderId="0" xfId="7" applyFont="1" applyFill="1" applyBorder="1" applyAlignment="1" applyProtection="1">
      <alignment horizontal="center" vertical="center"/>
      <protection locked="0"/>
    </xf>
    <xf numFmtId="0" fontId="8" fillId="0" borderId="73" xfId="5" applyFont="1" applyFill="1" applyBorder="1" applyAlignment="1" applyProtection="1">
      <alignment horizontal="center" vertical="center"/>
      <protection locked="0"/>
    </xf>
    <xf numFmtId="0" fontId="3" fillId="0" borderId="13" xfId="6" applyFont="1" applyFill="1" applyBorder="1" applyAlignment="1" applyProtection="1">
      <alignment horizontal="left" vertical="center" wrapText="1"/>
      <protection locked="0"/>
    </xf>
    <xf numFmtId="0" fontId="3" fillId="0" borderId="72" xfId="6" applyFont="1" applyFill="1" applyBorder="1" applyAlignment="1" applyProtection="1">
      <alignment horizontal="center" vertical="center"/>
      <protection locked="0"/>
    </xf>
    <xf numFmtId="0" fontId="3" fillId="0" borderId="72" xfId="6" applyFont="1" applyFill="1" applyBorder="1" applyAlignment="1" applyProtection="1">
      <alignment vertical="center" wrapText="1"/>
      <protection locked="0"/>
    </xf>
    <xf numFmtId="0" fontId="8" fillId="0" borderId="13" xfId="9" applyFont="1" applyFill="1" applyBorder="1" applyAlignment="1" applyProtection="1">
      <alignment horizontal="center" vertical="center"/>
      <protection locked="0"/>
    </xf>
    <xf numFmtId="0" fontId="8" fillId="0" borderId="74" xfId="9" applyFont="1" applyFill="1" applyBorder="1" applyAlignment="1" applyProtection="1">
      <alignment horizontal="center" vertical="center"/>
      <protection locked="0"/>
    </xf>
    <xf numFmtId="0" fontId="8" fillId="0" borderId="47" xfId="9" applyFont="1" applyFill="1" applyBorder="1" applyAlignment="1" applyProtection="1">
      <alignment horizontal="center" vertical="center"/>
      <protection locked="0"/>
    </xf>
    <xf numFmtId="0" fontId="8" fillId="0" borderId="73" xfId="9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3" fillId="5" borderId="47" xfId="0" applyFont="1" applyFill="1" applyBorder="1" applyAlignment="1" applyProtection="1">
      <alignment horizontal="center" vertical="center"/>
      <protection locked="0"/>
    </xf>
    <xf numFmtId="0" fontId="3" fillId="5" borderId="48" xfId="0" applyFont="1" applyFill="1" applyBorder="1" applyAlignment="1" applyProtection="1">
      <alignment horizontal="center" vertical="center"/>
      <protection locked="0"/>
    </xf>
    <xf numFmtId="0" fontId="3" fillId="5" borderId="49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3" fillId="3" borderId="16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vertical="center" wrapText="1"/>
    </xf>
    <xf numFmtId="0" fontId="15" fillId="3" borderId="43" xfId="0" applyFont="1" applyFill="1" applyBorder="1" applyAlignment="1">
      <alignment vertical="center" wrapText="1"/>
    </xf>
    <xf numFmtId="0" fontId="15" fillId="3" borderId="16" xfId="0" applyFont="1" applyFill="1" applyBorder="1" applyAlignment="1">
      <alignment wrapText="1"/>
    </xf>
    <xf numFmtId="0" fontId="15" fillId="3" borderId="42" xfId="0" applyFont="1" applyFill="1" applyBorder="1" applyAlignment="1">
      <alignment wrapText="1"/>
    </xf>
    <xf numFmtId="0" fontId="15" fillId="3" borderId="43" xfId="0" applyFont="1" applyFill="1" applyBorder="1" applyAlignment="1">
      <alignment wrapText="1"/>
    </xf>
    <xf numFmtId="0" fontId="3" fillId="7" borderId="47" xfId="0" applyFont="1" applyFill="1" applyBorder="1" applyAlignment="1" applyProtection="1">
      <alignment horizontal="center" vertical="center"/>
      <protection locked="0"/>
    </xf>
    <xf numFmtId="0" fontId="3" fillId="7" borderId="48" xfId="0" applyFont="1" applyFill="1" applyBorder="1" applyAlignment="1" applyProtection="1">
      <alignment horizontal="center" vertical="center"/>
      <protection locked="0"/>
    </xf>
    <xf numFmtId="0" fontId="3" fillId="7" borderId="49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3" fillId="0" borderId="0" xfId="0" applyFont="1" applyBorder="1"/>
    <xf numFmtId="0" fontId="13" fillId="3" borderId="16" xfId="0" applyFont="1" applyFill="1" applyBorder="1"/>
    <xf numFmtId="0" fontId="13" fillId="3" borderId="43" xfId="0" applyFont="1" applyFill="1" applyBorder="1"/>
    <xf numFmtId="0" fontId="15" fillId="0" borderId="1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13" fillId="3" borderId="43" xfId="0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textRotation="90"/>
    </xf>
    <xf numFmtId="0" fontId="6" fillId="0" borderId="12" xfId="2" applyFont="1" applyBorder="1" applyAlignment="1"/>
    <xf numFmtId="0" fontId="6" fillId="0" borderId="19" xfId="2" applyFont="1" applyBorder="1" applyAlignment="1"/>
    <xf numFmtId="0" fontId="8" fillId="0" borderId="27" xfId="2" applyFont="1" applyBorder="1" applyAlignment="1">
      <alignment horizontal="center" vertical="center" textRotation="90"/>
    </xf>
    <xf numFmtId="0" fontId="8" fillId="0" borderId="13" xfId="2" applyFont="1" applyBorder="1" applyAlignment="1">
      <alignment horizontal="center" vertical="center" textRotation="90"/>
    </xf>
    <xf numFmtId="0" fontId="8" fillId="0" borderId="20" xfId="2" applyFont="1" applyBorder="1" applyAlignment="1">
      <alignment horizontal="center" vertical="center" textRotation="90"/>
    </xf>
    <xf numFmtId="0" fontId="6" fillId="0" borderId="28" xfId="2" applyFont="1" applyBorder="1" applyAlignment="1">
      <alignment horizontal="center" vertical="center" textRotation="90"/>
    </xf>
    <xf numFmtId="0" fontId="6" fillId="0" borderId="2" xfId="2" applyFont="1" applyBorder="1" applyAlignment="1">
      <alignment horizontal="center" vertical="center" textRotation="90"/>
    </xf>
    <xf numFmtId="0" fontId="6" fillId="0" borderId="36" xfId="2" applyFont="1" applyBorder="1" applyAlignment="1">
      <alignment horizontal="center" vertical="center" textRotation="90"/>
    </xf>
    <xf numFmtId="0" fontId="6" fillId="0" borderId="27" xfId="2" applyFont="1" applyBorder="1" applyAlignment="1">
      <alignment horizontal="center"/>
    </xf>
    <xf numFmtId="0" fontId="6" fillId="0" borderId="29" xfId="2" applyFont="1" applyBorder="1" applyAlignment="1">
      <alignment horizontal="center"/>
    </xf>
    <xf numFmtId="0" fontId="8" fillId="0" borderId="5" xfId="2" applyFont="1" applyFill="1" applyBorder="1" applyAlignment="1">
      <alignment horizontal="center" vertical="center" textRotation="90"/>
    </xf>
    <xf numFmtId="0" fontId="8" fillId="0" borderId="6" xfId="2" applyFont="1" applyFill="1" applyBorder="1" applyAlignment="1">
      <alignment horizontal="center" vertical="center" textRotation="90"/>
    </xf>
    <xf numFmtId="0" fontId="8" fillId="0" borderId="14" xfId="2" applyFont="1" applyFill="1" applyBorder="1" applyAlignment="1">
      <alignment horizontal="center" vertical="center" textRotation="90"/>
    </xf>
    <xf numFmtId="0" fontId="8" fillId="0" borderId="15" xfId="2" applyFont="1" applyFill="1" applyBorder="1" applyAlignment="1">
      <alignment horizontal="center" vertical="center" textRotation="90"/>
    </xf>
    <xf numFmtId="0" fontId="8" fillId="0" borderId="32" xfId="2" applyFont="1" applyFill="1" applyBorder="1" applyAlignment="1">
      <alignment horizontal="center" vertical="center" textRotation="90"/>
    </xf>
    <xf numFmtId="0" fontId="8" fillId="0" borderId="33" xfId="2" applyFont="1" applyFill="1" applyBorder="1" applyAlignment="1">
      <alignment horizontal="center" vertical="center" textRotation="90"/>
    </xf>
    <xf numFmtId="0" fontId="8" fillId="2" borderId="13" xfId="2" applyFont="1" applyFill="1" applyBorder="1" applyAlignment="1">
      <alignment horizontal="center" vertical="center" textRotation="90"/>
    </xf>
    <xf numFmtId="0" fontId="8" fillId="2" borderId="20" xfId="2" applyFont="1" applyFill="1" applyBorder="1" applyAlignment="1">
      <alignment horizontal="center" vertical="center" textRotation="90"/>
    </xf>
    <xf numFmtId="0" fontId="8" fillId="2" borderId="22" xfId="2" applyFont="1" applyFill="1" applyBorder="1" applyAlignment="1">
      <alignment horizontal="center" vertical="center" textRotation="90"/>
    </xf>
    <xf numFmtId="0" fontId="8" fillId="2" borderId="21" xfId="2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2" borderId="7" xfId="2" applyFont="1" applyFill="1" applyBorder="1" applyAlignment="1">
      <alignment horizontal="center" vertical="center" textRotation="90"/>
    </xf>
    <xf numFmtId="0" fontId="8" fillId="0" borderId="16" xfId="2" applyFont="1" applyBorder="1" applyAlignment="1">
      <alignment horizontal="center" vertical="center" textRotation="90"/>
    </xf>
    <xf numFmtId="0" fontId="8" fillId="0" borderId="34" xfId="2" applyFont="1" applyBorder="1" applyAlignment="1">
      <alignment horizontal="center" vertical="center" textRotation="90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30" xfId="2" applyFont="1" applyFill="1" applyBorder="1" applyAlignment="1">
      <alignment horizontal="center" vertical="center" textRotation="90"/>
    </xf>
    <xf numFmtId="0" fontId="8" fillId="2" borderId="35" xfId="2" applyFont="1" applyFill="1" applyBorder="1" applyAlignment="1">
      <alignment horizontal="center" vertical="center" textRotation="90"/>
    </xf>
    <xf numFmtId="0" fontId="8" fillId="2" borderId="2" xfId="2" applyFont="1" applyFill="1" applyBorder="1" applyAlignment="1">
      <alignment horizontal="center" vertical="center" textRotation="90"/>
    </xf>
    <xf numFmtId="0" fontId="8" fillId="2" borderId="36" xfId="2" applyFont="1" applyFill="1" applyBorder="1" applyAlignment="1">
      <alignment horizontal="center" vertical="center" textRotation="90"/>
    </xf>
    <xf numFmtId="0" fontId="8" fillId="2" borderId="31" xfId="2" applyFont="1" applyFill="1" applyBorder="1" applyAlignment="1">
      <alignment horizontal="center" vertical="center" textRotation="90"/>
    </xf>
    <xf numFmtId="0" fontId="8" fillId="2" borderId="37" xfId="2" applyFont="1" applyFill="1" applyBorder="1" applyAlignment="1">
      <alignment horizontal="center" vertical="center" textRotation="90"/>
    </xf>
    <xf numFmtId="0" fontId="8" fillId="2" borderId="24" xfId="0" applyFont="1" applyFill="1" applyBorder="1" applyAlignment="1">
      <alignment horizontal="right"/>
    </xf>
    <xf numFmtId="0" fontId="8" fillId="2" borderId="3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textRotation="90"/>
    </xf>
    <xf numFmtId="0" fontId="8" fillId="0" borderId="13" xfId="2" applyFont="1" applyFill="1" applyBorder="1" applyAlignment="1">
      <alignment horizontal="center" vertical="center" textRotation="90"/>
    </xf>
    <xf numFmtId="0" fontId="8" fillId="0" borderId="20" xfId="2" applyFont="1" applyFill="1" applyBorder="1" applyAlignment="1">
      <alignment horizontal="center" vertical="center" textRotation="90"/>
    </xf>
  </cellXfs>
  <cellStyles count="20">
    <cellStyle name="Денежный 2" xfId="1" xr:uid="{00000000-0005-0000-0000-000000000000}"/>
    <cellStyle name="Денежный 2 2" xfId="12" xr:uid="{00000000-0005-0000-0000-000001000000}"/>
    <cellStyle name="Денежный 2 3" xfId="13" xr:uid="{00000000-0005-0000-0000-000002000000}"/>
    <cellStyle name="Обычный" xfId="0" builtinId="0"/>
    <cellStyle name="Обычный 10" xfId="14" xr:uid="{00000000-0005-0000-0000-000004000000}"/>
    <cellStyle name="Обычный 11" xfId="8" xr:uid="{00000000-0005-0000-0000-000005000000}"/>
    <cellStyle name="Обычный 12" xfId="15" xr:uid="{00000000-0005-0000-0000-000006000000}"/>
    <cellStyle name="Обычный 13" xfId="9" xr:uid="{00000000-0005-0000-0000-000007000000}"/>
    <cellStyle name="Обычный 14" xfId="2" xr:uid="{00000000-0005-0000-0000-000008000000}"/>
    <cellStyle name="Обычный 2" xfId="3" xr:uid="{00000000-0005-0000-0000-000009000000}"/>
    <cellStyle name="Обычный 3" xfId="4" xr:uid="{00000000-0005-0000-0000-00000A000000}"/>
    <cellStyle name="Обычный 3 2" xfId="16" xr:uid="{00000000-0005-0000-0000-00000B000000}"/>
    <cellStyle name="Обычный 3 3" xfId="17" xr:uid="{00000000-0005-0000-0000-00000C000000}"/>
    <cellStyle name="Обычный 4" xfId="5" xr:uid="{00000000-0005-0000-0000-00000D000000}"/>
    <cellStyle name="Обычный 5" xfId="18" xr:uid="{00000000-0005-0000-0000-00000E000000}"/>
    <cellStyle name="Обычный 5 2" xfId="19" xr:uid="{00000000-0005-0000-0000-00000F000000}"/>
    <cellStyle name="Обычный 6" xfId="6" xr:uid="{00000000-0005-0000-0000-000010000000}"/>
    <cellStyle name="Обычный 7" xfId="7" xr:uid="{00000000-0005-0000-0000-000011000000}"/>
    <cellStyle name="Обычный 8" xfId="11" xr:uid="{00000000-0005-0000-0000-000012000000}"/>
    <cellStyle name="Обычный 9" xfId="10" xr:uid="{00000000-0005-0000-0000-000013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7"/>
  <sheetViews>
    <sheetView showZeros="0" tabSelected="1" view="pageBreakPreview" zoomScale="80" zoomScaleNormal="80" zoomScaleSheetLayoutView="80" workbookViewId="0">
      <selection activeCell="B86" sqref="B86"/>
    </sheetView>
  </sheetViews>
  <sheetFormatPr defaultColWidth="8.85546875" defaultRowHeight="14.25" x14ac:dyDescent="0.2"/>
  <cols>
    <col min="1" max="1" width="10.7109375" style="4" customWidth="1"/>
    <col min="2" max="2" width="35.140625" style="4" customWidth="1"/>
    <col min="3" max="3" width="6.42578125" style="4" bestFit="1" customWidth="1"/>
    <col min="4" max="4" width="3.7109375" style="4" bestFit="1" customWidth="1"/>
    <col min="5" max="5" width="3.7109375" style="4" customWidth="1"/>
    <col min="6" max="6" width="5" style="4" bestFit="1" customWidth="1"/>
    <col min="7" max="7" width="8.5703125" style="4" customWidth="1"/>
    <col min="8" max="12" width="3.7109375" style="4" customWidth="1"/>
    <col min="13" max="13" width="6.28515625" style="4" bestFit="1" customWidth="1"/>
    <col min="14" max="15" width="5" style="4" customWidth="1"/>
    <col min="16" max="18" width="6.28515625" style="4" customWidth="1"/>
    <col min="19" max="19" width="5" style="4" bestFit="1" customWidth="1"/>
    <col min="20" max="20" width="6.28515625" style="4" bestFit="1" customWidth="1"/>
    <col min="21" max="21" width="6.5703125" style="4" customWidth="1"/>
    <col min="22" max="22" width="6.28515625" style="4" bestFit="1" customWidth="1"/>
    <col min="23" max="23" width="3.85546875" style="15" customWidth="1"/>
    <col min="24" max="24" width="55" style="4" customWidth="1"/>
    <col min="25" max="25" width="21.5703125" style="4" customWidth="1"/>
    <col min="26" max="26" width="22" style="4" customWidth="1"/>
    <col min="27" max="16384" width="8.85546875" style="4"/>
  </cols>
  <sheetData>
    <row r="1" spans="1:26" ht="18" x14ac:dyDescent="0.2">
      <c r="A1" s="1"/>
      <c r="B1" s="325" t="s">
        <v>0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2"/>
      <c r="X1" s="3"/>
      <c r="Y1" s="3"/>
      <c r="Z1" s="3"/>
    </row>
    <row r="2" spans="1:26" ht="13.5" customHeight="1" x14ac:dyDescent="0.2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  <c r="X2" s="6"/>
      <c r="Y2" s="3"/>
      <c r="Z2" s="3"/>
    </row>
    <row r="3" spans="1:26" ht="18" x14ac:dyDescent="0.2">
      <c r="A3" s="1"/>
      <c r="B3" s="326" t="s">
        <v>185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7"/>
      <c r="X3" s="8" t="s">
        <v>1</v>
      </c>
      <c r="Y3" s="3"/>
      <c r="Z3" s="3"/>
    </row>
    <row r="4" spans="1:26" x14ac:dyDescent="0.2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7"/>
      <c r="X4" s="8"/>
      <c r="Y4" s="3"/>
      <c r="Z4" s="3"/>
    </row>
    <row r="5" spans="1:26" ht="15.75" x14ac:dyDescent="0.2">
      <c r="A5" s="1"/>
      <c r="B5" s="327" t="s">
        <v>198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10"/>
      <c r="X5" s="8"/>
      <c r="Y5" s="3"/>
      <c r="Z5" s="3"/>
    </row>
    <row r="6" spans="1:26" ht="6" customHeight="1" x14ac:dyDescent="0.2">
      <c r="A6" s="11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7"/>
      <c r="X6" s="8"/>
      <c r="Y6" s="3"/>
      <c r="Z6" s="3"/>
    </row>
    <row r="7" spans="1:26" ht="16.5" thickBot="1" x14ac:dyDescent="0.3">
      <c r="A7" s="12" t="s">
        <v>2</v>
      </c>
      <c r="B7" s="24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46" t="s">
        <v>199</v>
      </c>
      <c r="S7" s="346"/>
      <c r="T7" s="346"/>
      <c r="U7" s="346"/>
      <c r="V7" s="346"/>
      <c r="W7" s="14"/>
      <c r="X7" s="8"/>
      <c r="Y7" s="3"/>
      <c r="Z7" s="3"/>
    </row>
    <row r="8" spans="1:26" ht="15" x14ac:dyDescent="0.2">
      <c r="A8" s="347" t="s">
        <v>3</v>
      </c>
      <c r="B8" s="350" t="s">
        <v>4</v>
      </c>
      <c r="C8" s="353" t="s">
        <v>5</v>
      </c>
      <c r="D8" s="353" t="s">
        <v>6</v>
      </c>
      <c r="E8" s="315" t="s">
        <v>7</v>
      </c>
      <c r="F8" s="316"/>
      <c r="G8" s="328" t="s">
        <v>8</v>
      </c>
      <c r="H8" s="331" t="s">
        <v>9</v>
      </c>
      <c r="I8" s="332"/>
      <c r="J8" s="332"/>
      <c r="K8" s="332"/>
      <c r="L8" s="333"/>
      <c r="M8" s="295" t="s">
        <v>10</v>
      </c>
      <c r="N8" s="296"/>
      <c r="O8" s="296"/>
      <c r="P8" s="296"/>
      <c r="Q8" s="296"/>
      <c r="R8" s="296"/>
      <c r="S8" s="297"/>
      <c r="T8" s="295" t="s">
        <v>11</v>
      </c>
      <c r="U8" s="296"/>
      <c r="V8" s="297"/>
      <c r="W8" s="16"/>
      <c r="X8" s="8"/>
      <c r="Y8" s="3"/>
      <c r="Z8" s="3"/>
    </row>
    <row r="9" spans="1:26" ht="15" thickBot="1" x14ac:dyDescent="0.25">
      <c r="A9" s="348"/>
      <c r="B9" s="351"/>
      <c r="C9" s="354"/>
      <c r="D9" s="354"/>
      <c r="E9" s="317"/>
      <c r="F9" s="318"/>
      <c r="G9" s="329"/>
      <c r="H9" s="334"/>
      <c r="I9" s="335"/>
      <c r="J9" s="335"/>
      <c r="K9" s="335"/>
      <c r="L9" s="336"/>
      <c r="M9" s="298"/>
      <c r="N9" s="299"/>
      <c r="O9" s="299"/>
      <c r="P9" s="299"/>
      <c r="Q9" s="299"/>
      <c r="R9" s="299"/>
      <c r="S9" s="300"/>
      <c r="T9" s="301"/>
      <c r="U9" s="302"/>
      <c r="V9" s="303"/>
      <c r="W9" s="17"/>
      <c r="X9" s="8"/>
      <c r="Y9" s="3"/>
      <c r="Z9" s="3"/>
    </row>
    <row r="10" spans="1:26" ht="15" thickBot="1" x14ac:dyDescent="0.25">
      <c r="A10" s="348"/>
      <c r="B10" s="351"/>
      <c r="C10" s="354"/>
      <c r="D10" s="354"/>
      <c r="E10" s="317"/>
      <c r="F10" s="318"/>
      <c r="G10" s="329"/>
      <c r="H10" s="337"/>
      <c r="I10" s="338"/>
      <c r="J10" s="338"/>
      <c r="K10" s="338"/>
      <c r="L10" s="339"/>
      <c r="M10" s="304" t="s">
        <v>12</v>
      </c>
      <c r="N10" s="307" t="s">
        <v>13</v>
      </c>
      <c r="O10" s="310" t="s">
        <v>14</v>
      </c>
      <c r="P10" s="313" t="s">
        <v>15</v>
      </c>
      <c r="Q10" s="313"/>
      <c r="R10" s="313"/>
      <c r="S10" s="314"/>
      <c r="T10" s="301"/>
      <c r="U10" s="302"/>
      <c r="V10" s="303"/>
      <c r="W10" s="17"/>
      <c r="X10" s="8"/>
      <c r="Y10" s="3"/>
      <c r="Z10" s="3"/>
    </row>
    <row r="11" spans="1:26" x14ac:dyDescent="0.2">
      <c r="A11" s="348"/>
      <c r="B11" s="351"/>
      <c r="C11" s="354"/>
      <c r="D11" s="354"/>
      <c r="E11" s="317"/>
      <c r="F11" s="318"/>
      <c r="G11" s="329"/>
      <c r="H11" s="340" t="s">
        <v>16</v>
      </c>
      <c r="I11" s="342" t="s">
        <v>17</v>
      </c>
      <c r="J11" s="342" t="s">
        <v>18</v>
      </c>
      <c r="K11" s="342" t="s">
        <v>19</v>
      </c>
      <c r="L11" s="344" t="s">
        <v>20</v>
      </c>
      <c r="M11" s="305"/>
      <c r="N11" s="308"/>
      <c r="O11" s="311"/>
      <c r="P11" s="321" t="s">
        <v>21</v>
      </c>
      <c r="Q11" s="321" t="s">
        <v>22</v>
      </c>
      <c r="R11" s="321" t="s">
        <v>23</v>
      </c>
      <c r="S11" s="323" t="s">
        <v>24</v>
      </c>
      <c r="T11" s="301"/>
      <c r="U11" s="302"/>
      <c r="V11" s="303"/>
      <c r="W11" s="17"/>
      <c r="X11" s="8"/>
      <c r="Y11" s="3"/>
      <c r="Z11" s="3"/>
    </row>
    <row r="12" spans="1:26" ht="15" thickBot="1" x14ac:dyDescent="0.25">
      <c r="A12" s="348"/>
      <c r="B12" s="351"/>
      <c r="C12" s="354"/>
      <c r="D12" s="354"/>
      <c r="E12" s="317"/>
      <c r="F12" s="318"/>
      <c r="G12" s="329"/>
      <c r="H12" s="340"/>
      <c r="I12" s="342"/>
      <c r="J12" s="342"/>
      <c r="K12" s="342"/>
      <c r="L12" s="344"/>
      <c r="M12" s="305"/>
      <c r="N12" s="308"/>
      <c r="O12" s="311"/>
      <c r="P12" s="321"/>
      <c r="Q12" s="321"/>
      <c r="R12" s="321"/>
      <c r="S12" s="323"/>
      <c r="T12" s="298"/>
      <c r="U12" s="299"/>
      <c r="V12" s="300"/>
      <c r="W12" s="7"/>
      <c r="X12" s="8" t="s">
        <v>25</v>
      </c>
      <c r="Y12" s="3" t="s">
        <v>26</v>
      </c>
      <c r="Z12" s="3"/>
    </row>
    <row r="13" spans="1:26" ht="138" thickBot="1" x14ac:dyDescent="0.25">
      <c r="A13" s="349"/>
      <c r="B13" s="352"/>
      <c r="C13" s="355"/>
      <c r="D13" s="355"/>
      <c r="E13" s="319"/>
      <c r="F13" s="320"/>
      <c r="G13" s="330"/>
      <c r="H13" s="341"/>
      <c r="I13" s="343"/>
      <c r="J13" s="343"/>
      <c r="K13" s="343"/>
      <c r="L13" s="345"/>
      <c r="M13" s="306"/>
      <c r="N13" s="309"/>
      <c r="O13" s="312"/>
      <c r="P13" s="322"/>
      <c r="Q13" s="322"/>
      <c r="R13" s="322"/>
      <c r="S13" s="324"/>
      <c r="T13" s="18" t="s">
        <v>27</v>
      </c>
      <c r="U13" s="19" t="s">
        <v>28</v>
      </c>
      <c r="V13" s="20" t="s">
        <v>29</v>
      </c>
      <c r="W13" s="21"/>
      <c r="X13" s="22" t="s">
        <v>30</v>
      </c>
      <c r="Y13" s="23" t="s">
        <v>31</v>
      </c>
      <c r="Z13" s="23" t="s">
        <v>32</v>
      </c>
    </row>
    <row r="14" spans="1:26" ht="15.75" thickBot="1" x14ac:dyDescent="0.25">
      <c r="A14" s="24"/>
      <c r="B14" s="25"/>
      <c r="C14" s="26"/>
      <c r="D14" s="26"/>
      <c r="E14" s="26"/>
      <c r="F14" s="27"/>
      <c r="G14" s="28"/>
      <c r="H14" s="203"/>
      <c r="I14" s="204"/>
      <c r="J14" s="205"/>
      <c r="K14" s="205"/>
      <c r="L14" s="206"/>
      <c r="M14" s="31"/>
      <c r="N14" s="29"/>
      <c r="O14" s="30"/>
      <c r="P14" s="205"/>
      <c r="Q14" s="205"/>
      <c r="R14" s="205"/>
      <c r="S14" s="205"/>
      <c r="T14" s="223"/>
      <c r="U14" s="205"/>
      <c r="V14" s="206"/>
      <c r="W14" s="32"/>
      <c r="X14" s="8"/>
      <c r="Y14" s="3"/>
      <c r="Z14" s="3"/>
    </row>
    <row r="15" spans="1:26" ht="18" customHeight="1" x14ac:dyDescent="0.2">
      <c r="A15" s="33" t="s">
        <v>33</v>
      </c>
      <c r="B15" s="34"/>
      <c r="C15" s="35"/>
      <c r="D15" s="35"/>
      <c r="E15" s="35"/>
      <c r="F15" s="41">
        <f t="shared" ref="F15:V15" si="0">F16+F96</f>
        <v>209</v>
      </c>
      <c r="G15" s="240">
        <f t="shared" si="0"/>
        <v>7668</v>
      </c>
      <c r="H15" s="233">
        <f t="shared" si="0"/>
        <v>21</v>
      </c>
      <c r="I15" s="231">
        <f t="shared" si="0"/>
        <v>57</v>
      </c>
      <c r="J15" s="231">
        <f t="shared" si="0"/>
        <v>4</v>
      </c>
      <c r="K15" s="231">
        <f t="shared" si="0"/>
        <v>4</v>
      </c>
      <c r="L15" s="232">
        <f t="shared" si="0"/>
        <v>14</v>
      </c>
      <c r="M15" s="45">
        <f t="shared" si="0"/>
        <v>3405</v>
      </c>
      <c r="N15" s="44">
        <f t="shared" si="0"/>
        <v>116</v>
      </c>
      <c r="O15" s="46">
        <f t="shared" si="0"/>
        <v>189</v>
      </c>
      <c r="P15" s="233">
        <f t="shared" si="0"/>
        <v>3100</v>
      </c>
      <c r="Q15" s="231">
        <f t="shared" si="0"/>
        <v>1214</v>
      </c>
      <c r="R15" s="231">
        <f t="shared" si="0"/>
        <v>1322</v>
      </c>
      <c r="S15" s="232">
        <f t="shared" si="0"/>
        <v>564</v>
      </c>
      <c r="T15" s="233">
        <f t="shared" si="0"/>
        <v>4047</v>
      </c>
      <c r="U15" s="231">
        <f t="shared" si="0"/>
        <v>567</v>
      </c>
      <c r="V15" s="232">
        <f t="shared" si="0"/>
        <v>3480</v>
      </c>
      <c r="W15" s="36"/>
      <c r="X15" s="37" t="s">
        <v>34</v>
      </c>
      <c r="Y15" s="3"/>
      <c r="Z15" s="3"/>
    </row>
    <row r="16" spans="1:26" s="49" customFormat="1" ht="28.5" customHeight="1" x14ac:dyDescent="0.25">
      <c r="A16" s="38" t="s">
        <v>35</v>
      </c>
      <c r="B16" s="40" t="s">
        <v>82</v>
      </c>
      <c r="C16" s="40"/>
      <c r="D16" s="39"/>
      <c r="E16" s="39"/>
      <c r="F16" s="41">
        <f>SUM(F17:F95)</f>
        <v>200</v>
      </c>
      <c r="G16" s="46">
        <f>SUM(G17:G95)-G17-G27-G33-G40-G44-G63</f>
        <v>7416</v>
      </c>
      <c r="H16" s="43">
        <f>COUNTIF(H17:H95,"+")</f>
        <v>20</v>
      </c>
      <c r="I16" s="44">
        <f>COUNTIF(I17:I95,"+")+COUNTIF(I17:I95,"д")</f>
        <v>50</v>
      </c>
      <c r="J16" s="44">
        <f>COUNTIF(J17:J95,"+")</f>
        <v>4</v>
      </c>
      <c r="K16" s="44">
        <f>COUNTIF(K17:K95,"+")</f>
        <v>4</v>
      </c>
      <c r="L16" s="42">
        <f>COUNTIF(L17:L95,"+")</f>
        <v>14</v>
      </c>
      <c r="M16" s="45">
        <f t="shared" ref="M16:V16" si="1">SUM(M17:M95)</f>
        <v>3296</v>
      </c>
      <c r="N16" s="44">
        <f t="shared" si="1"/>
        <v>112</v>
      </c>
      <c r="O16" s="46">
        <f t="shared" si="1"/>
        <v>180</v>
      </c>
      <c r="P16" s="43">
        <f t="shared" si="1"/>
        <v>3004</v>
      </c>
      <c r="Q16" s="44">
        <f t="shared" si="1"/>
        <v>1168</v>
      </c>
      <c r="R16" s="44">
        <f t="shared" si="1"/>
        <v>1272</v>
      </c>
      <c r="S16" s="42">
        <f t="shared" si="1"/>
        <v>564</v>
      </c>
      <c r="T16" s="43">
        <f t="shared" si="1"/>
        <v>3904</v>
      </c>
      <c r="U16" s="44">
        <f t="shared" si="1"/>
        <v>540</v>
      </c>
      <c r="V16" s="42">
        <f t="shared" si="1"/>
        <v>3364</v>
      </c>
      <c r="W16" s="47"/>
      <c r="X16" s="22" t="s">
        <v>36</v>
      </c>
      <c r="Y16" s="48"/>
      <c r="Z16" s="48"/>
    </row>
    <row r="17" spans="1:26" s="49" customFormat="1" ht="15" customHeight="1" x14ac:dyDescent="0.25">
      <c r="A17" s="263" t="s">
        <v>132</v>
      </c>
      <c r="B17" s="50" t="s">
        <v>37</v>
      </c>
      <c r="C17" s="51" t="s">
        <v>38</v>
      </c>
      <c r="D17" s="52"/>
      <c r="E17" s="53">
        <f>SUM(F18:F20)</f>
        <v>8</v>
      </c>
      <c r="F17" s="54"/>
      <c r="G17" s="218">
        <f>E17*36</f>
        <v>288</v>
      </c>
      <c r="H17" s="55"/>
      <c r="I17" s="56"/>
      <c r="J17" s="54"/>
      <c r="K17" s="54"/>
      <c r="L17" s="57"/>
      <c r="M17" s="197"/>
      <c r="N17" s="59"/>
      <c r="O17" s="207"/>
      <c r="P17" s="212"/>
      <c r="Q17" s="61"/>
      <c r="R17" s="61"/>
      <c r="S17" s="213"/>
      <c r="T17" s="58"/>
      <c r="U17" s="59"/>
      <c r="V17" s="60"/>
      <c r="W17" s="62"/>
      <c r="X17" s="63"/>
      <c r="Y17" s="48">
        <f>IF(J17="+",IF(V17&lt;60,"мало часов на КП",0),0)</f>
        <v>0</v>
      </c>
      <c r="Z17" s="48">
        <f>IF(K17="+",IF(V17&lt;40,"мало часов на КР",0),0)</f>
        <v>0</v>
      </c>
    </row>
    <row r="18" spans="1:26" s="49" customFormat="1" ht="15" customHeight="1" x14ac:dyDescent="0.25">
      <c r="A18" s="264"/>
      <c r="B18" s="64" t="s">
        <v>37</v>
      </c>
      <c r="C18" s="65" t="s">
        <v>38</v>
      </c>
      <c r="D18" s="66">
        <v>1</v>
      </c>
      <c r="E18" s="67"/>
      <c r="F18" s="68">
        <v>2</v>
      </c>
      <c r="G18" s="209">
        <f t="shared" ref="G18:G95" si="2">F18*36</f>
        <v>72</v>
      </c>
      <c r="H18" s="70"/>
      <c r="I18" s="71" t="s">
        <v>40</v>
      </c>
      <c r="J18" s="68"/>
      <c r="K18" s="68"/>
      <c r="L18" s="72"/>
      <c r="M18" s="73">
        <f t="shared" ref="M18:M22" si="3">SUM(N18:P18)</f>
        <v>46</v>
      </c>
      <c r="N18" s="74">
        <f t="shared" ref="N18:N26" si="4">IF(I18="+",2,0)+IF(I18="д",2,0)+IF(J18="+",2,0)+IF(K18="+",1,0)</f>
        <v>2</v>
      </c>
      <c r="O18" s="75">
        <f t="shared" ref="O18:O26" si="5">IF(H18="+",9,0)</f>
        <v>0</v>
      </c>
      <c r="P18" s="225">
        <f t="shared" ref="P18:P20" si="6">SUM(Q18:S18)</f>
        <v>44</v>
      </c>
      <c r="Q18" s="76"/>
      <c r="R18" s="76">
        <v>44</v>
      </c>
      <c r="S18" s="76"/>
      <c r="T18" s="73">
        <f t="shared" ref="T18:T39" si="7">SUM(U18:V18)</f>
        <v>26</v>
      </c>
      <c r="U18" s="74">
        <f t="shared" ref="U18:U95" si="8">IF(H18="+",27,0)</f>
        <v>0</v>
      </c>
      <c r="V18" s="75">
        <f t="shared" ref="V18:V95" si="9">G18-M18-U18</f>
        <v>26</v>
      </c>
      <c r="W18" s="62"/>
      <c r="X18" s="63"/>
      <c r="Y18" s="48">
        <f>IF(J18="+",IF(V18&lt;60,"мало часов на КП",0),0)</f>
        <v>0</v>
      </c>
      <c r="Z18" s="48">
        <f>IF(K18="+",IF(V18&lt;40,"мало часов на КР",0),0)</f>
        <v>0</v>
      </c>
    </row>
    <row r="19" spans="1:26" s="49" customFormat="1" ht="15" customHeight="1" x14ac:dyDescent="0.25">
      <c r="A19" s="264"/>
      <c r="B19" s="64" t="s">
        <v>37</v>
      </c>
      <c r="C19" s="65" t="s">
        <v>38</v>
      </c>
      <c r="D19" s="66">
        <v>2</v>
      </c>
      <c r="E19" s="67"/>
      <c r="F19" s="68">
        <v>2</v>
      </c>
      <c r="G19" s="209">
        <f t="shared" si="2"/>
        <v>72</v>
      </c>
      <c r="H19" s="70"/>
      <c r="I19" s="71" t="s">
        <v>40</v>
      </c>
      <c r="J19" s="68"/>
      <c r="K19" s="68"/>
      <c r="L19" s="72"/>
      <c r="M19" s="73">
        <f t="shared" si="3"/>
        <v>48</v>
      </c>
      <c r="N19" s="74">
        <f t="shared" si="4"/>
        <v>2</v>
      </c>
      <c r="O19" s="75">
        <f t="shared" si="5"/>
        <v>0</v>
      </c>
      <c r="P19" s="225">
        <f t="shared" si="6"/>
        <v>46</v>
      </c>
      <c r="Q19" s="76"/>
      <c r="R19" s="76">
        <v>46</v>
      </c>
      <c r="S19" s="76"/>
      <c r="T19" s="73">
        <f t="shared" si="7"/>
        <v>24</v>
      </c>
      <c r="U19" s="74">
        <f t="shared" si="8"/>
        <v>0</v>
      </c>
      <c r="V19" s="75">
        <f t="shared" si="9"/>
        <v>24</v>
      </c>
      <c r="W19" s="62"/>
      <c r="X19" s="63"/>
      <c r="Y19" s="48">
        <f t="shared" ref="Y19:Y95" si="10">IF(J19="+",IF(V19&lt;60,"мало часов на КП",0),0)</f>
        <v>0</v>
      </c>
      <c r="Z19" s="48">
        <f t="shared" ref="Z19:Z95" si="11">IF(K19="+",IF(V19&lt;40,"мало часов на КР",0),0)</f>
        <v>0</v>
      </c>
    </row>
    <row r="20" spans="1:26" s="49" customFormat="1" ht="15" customHeight="1" x14ac:dyDescent="0.25">
      <c r="A20" s="265"/>
      <c r="B20" s="77" t="s">
        <v>37</v>
      </c>
      <c r="C20" s="78" t="s">
        <v>38</v>
      </c>
      <c r="D20" s="79">
        <v>3</v>
      </c>
      <c r="E20" s="80"/>
      <c r="F20" s="81">
        <v>4</v>
      </c>
      <c r="G20" s="209">
        <f t="shared" si="2"/>
        <v>144</v>
      </c>
      <c r="H20" s="82"/>
      <c r="I20" s="71" t="s">
        <v>41</v>
      </c>
      <c r="J20" s="83"/>
      <c r="K20" s="83"/>
      <c r="L20" s="84"/>
      <c r="M20" s="73">
        <f t="shared" si="3"/>
        <v>56</v>
      </c>
      <c r="N20" s="74">
        <f t="shared" si="4"/>
        <v>2</v>
      </c>
      <c r="O20" s="75">
        <f t="shared" si="5"/>
        <v>0</v>
      </c>
      <c r="P20" s="225">
        <f t="shared" si="6"/>
        <v>54</v>
      </c>
      <c r="Q20" s="76"/>
      <c r="R20" s="76">
        <v>54</v>
      </c>
      <c r="S20" s="76"/>
      <c r="T20" s="73">
        <f t="shared" si="7"/>
        <v>88</v>
      </c>
      <c r="U20" s="74">
        <f t="shared" si="8"/>
        <v>0</v>
      </c>
      <c r="V20" s="75">
        <f t="shared" si="9"/>
        <v>88</v>
      </c>
      <c r="W20" s="62"/>
      <c r="X20" s="63"/>
      <c r="Y20" s="48">
        <f t="shared" si="10"/>
        <v>0</v>
      </c>
      <c r="Z20" s="48">
        <f t="shared" si="11"/>
        <v>0</v>
      </c>
    </row>
    <row r="21" spans="1:26" s="86" customFormat="1" ht="15" customHeight="1" x14ac:dyDescent="0.25">
      <c r="A21" s="87" t="s">
        <v>139</v>
      </c>
      <c r="B21" s="147" t="s">
        <v>84</v>
      </c>
      <c r="C21" s="65" t="s">
        <v>86</v>
      </c>
      <c r="D21" s="66">
        <v>1</v>
      </c>
      <c r="E21" s="67"/>
      <c r="F21" s="68">
        <v>2</v>
      </c>
      <c r="G21" s="69">
        <f t="shared" si="2"/>
        <v>72</v>
      </c>
      <c r="H21" s="70"/>
      <c r="I21" s="71" t="s">
        <v>40</v>
      </c>
      <c r="J21" s="68"/>
      <c r="K21" s="68"/>
      <c r="L21" s="72"/>
      <c r="M21" s="73">
        <f t="shared" si="3"/>
        <v>48</v>
      </c>
      <c r="N21" s="74">
        <f t="shared" si="4"/>
        <v>2</v>
      </c>
      <c r="O21" s="75">
        <f t="shared" si="5"/>
        <v>0</v>
      </c>
      <c r="P21" s="225">
        <f t="shared" ref="P21:P23" si="12">SUM(Q21:S21)</f>
        <v>46</v>
      </c>
      <c r="Q21" s="76">
        <v>22</v>
      </c>
      <c r="R21" s="76">
        <v>24</v>
      </c>
      <c r="S21" s="76"/>
      <c r="T21" s="73">
        <f t="shared" si="7"/>
        <v>24</v>
      </c>
      <c r="U21" s="74">
        <f t="shared" ref="U21:U23" si="13">IF(H21="+",27,0)</f>
        <v>0</v>
      </c>
      <c r="V21" s="75">
        <f t="shared" ref="V21:V23" si="14">G21-M21-U21</f>
        <v>24</v>
      </c>
      <c r="W21" s="16"/>
      <c r="X21" s="85" t="s">
        <v>42</v>
      </c>
      <c r="Y21" s="48">
        <f>IF(J21="+",IF(V21&lt;60,"мало часов на КП",0),0)</f>
        <v>0</v>
      </c>
      <c r="Z21" s="48">
        <f t="shared" si="11"/>
        <v>0</v>
      </c>
    </row>
    <row r="22" spans="1:26" s="49" customFormat="1" ht="15" customHeight="1" x14ac:dyDescent="0.25">
      <c r="A22" s="87" t="s">
        <v>140</v>
      </c>
      <c r="B22" s="147" t="s">
        <v>85</v>
      </c>
      <c r="C22" s="65" t="s">
        <v>86</v>
      </c>
      <c r="D22" s="66">
        <v>7</v>
      </c>
      <c r="E22" s="67"/>
      <c r="F22" s="68">
        <v>4</v>
      </c>
      <c r="G22" s="69">
        <f t="shared" si="2"/>
        <v>144</v>
      </c>
      <c r="H22" s="70" t="s">
        <v>40</v>
      </c>
      <c r="I22" s="71"/>
      <c r="J22" s="68"/>
      <c r="K22" s="68"/>
      <c r="L22" s="72"/>
      <c r="M22" s="73">
        <f t="shared" si="3"/>
        <v>55</v>
      </c>
      <c r="N22" s="74">
        <f t="shared" si="4"/>
        <v>0</v>
      </c>
      <c r="O22" s="75">
        <f t="shared" si="5"/>
        <v>9</v>
      </c>
      <c r="P22" s="225">
        <f t="shared" si="12"/>
        <v>46</v>
      </c>
      <c r="Q22" s="76">
        <v>18</v>
      </c>
      <c r="R22" s="76">
        <v>28</v>
      </c>
      <c r="S22" s="76"/>
      <c r="T22" s="73">
        <f t="shared" si="7"/>
        <v>89</v>
      </c>
      <c r="U22" s="74">
        <f t="shared" si="13"/>
        <v>27</v>
      </c>
      <c r="V22" s="75">
        <f t="shared" si="14"/>
        <v>62</v>
      </c>
      <c r="W22" s="62"/>
      <c r="X22" s="63"/>
      <c r="Y22" s="48">
        <f t="shared" si="10"/>
        <v>0</v>
      </c>
      <c r="Z22" s="48">
        <f t="shared" si="11"/>
        <v>0</v>
      </c>
    </row>
    <row r="23" spans="1:26" s="49" customFormat="1" ht="15" customHeight="1" x14ac:dyDescent="0.25">
      <c r="A23" s="87" t="s">
        <v>141</v>
      </c>
      <c r="B23" s="147" t="s">
        <v>87</v>
      </c>
      <c r="C23" s="65" t="s">
        <v>88</v>
      </c>
      <c r="D23" s="66">
        <v>5</v>
      </c>
      <c r="E23" s="67"/>
      <c r="F23" s="68">
        <v>3</v>
      </c>
      <c r="G23" s="69">
        <f t="shared" si="2"/>
        <v>108</v>
      </c>
      <c r="H23" s="70"/>
      <c r="I23" s="71" t="s">
        <v>40</v>
      </c>
      <c r="J23" s="68"/>
      <c r="K23" s="68"/>
      <c r="L23" s="72"/>
      <c r="M23" s="73">
        <f t="shared" ref="M23" si="15">SUM(N23:P23)</f>
        <v>54</v>
      </c>
      <c r="N23" s="74">
        <f t="shared" si="4"/>
        <v>2</v>
      </c>
      <c r="O23" s="75">
        <f t="shared" si="5"/>
        <v>0</v>
      </c>
      <c r="P23" s="225">
        <f t="shared" si="12"/>
        <v>52</v>
      </c>
      <c r="Q23" s="76">
        <v>20</v>
      </c>
      <c r="R23" s="76">
        <v>16</v>
      </c>
      <c r="S23" s="76">
        <v>16</v>
      </c>
      <c r="T23" s="73">
        <f t="shared" si="7"/>
        <v>54</v>
      </c>
      <c r="U23" s="74">
        <f t="shared" si="13"/>
        <v>0</v>
      </c>
      <c r="V23" s="75">
        <f t="shared" si="14"/>
        <v>54</v>
      </c>
      <c r="W23" s="62"/>
      <c r="X23" s="63"/>
      <c r="Y23" s="48">
        <f t="shared" si="10"/>
        <v>0</v>
      </c>
      <c r="Z23" s="48">
        <f t="shared" si="11"/>
        <v>0</v>
      </c>
    </row>
    <row r="24" spans="1:26" s="49" customFormat="1" ht="15" customHeight="1" x14ac:dyDescent="0.25">
      <c r="A24" s="87" t="s">
        <v>142</v>
      </c>
      <c r="B24" s="100" t="s">
        <v>120</v>
      </c>
      <c r="C24" s="65" t="s">
        <v>86</v>
      </c>
      <c r="D24" s="79">
        <v>1</v>
      </c>
      <c r="E24" s="80"/>
      <c r="F24" s="81">
        <v>2</v>
      </c>
      <c r="G24" s="69">
        <f>F24*36</f>
        <v>72</v>
      </c>
      <c r="H24" s="101"/>
      <c r="I24" s="81" t="s">
        <v>40</v>
      </c>
      <c r="J24" s="81"/>
      <c r="K24" s="81"/>
      <c r="L24" s="102"/>
      <c r="M24" s="73">
        <f>SUM(N24:P24)</f>
        <v>32</v>
      </c>
      <c r="N24" s="74">
        <f>IF(I24="+",2,0)+IF(I24="д",2,0)+IF(J24="+",2,0)+IF(K24="+",1,0)</f>
        <v>2</v>
      </c>
      <c r="O24" s="75">
        <f>IF(H24="+",9,0)</f>
        <v>0</v>
      </c>
      <c r="P24" s="225">
        <f>SUM(Q24:S24)</f>
        <v>30</v>
      </c>
      <c r="Q24" s="103">
        <v>14</v>
      </c>
      <c r="R24" s="103">
        <v>16</v>
      </c>
      <c r="S24" s="103"/>
      <c r="T24" s="73">
        <f>SUM(U24:V24)</f>
        <v>40</v>
      </c>
      <c r="U24" s="74">
        <f>IF(H24="+",27,0)</f>
        <v>0</v>
      </c>
      <c r="V24" s="75">
        <f>G24-M24-U24</f>
        <v>40</v>
      </c>
      <c r="W24" s="62"/>
      <c r="X24" s="63"/>
      <c r="Y24" s="48"/>
      <c r="Z24" s="48"/>
    </row>
    <row r="25" spans="1:26" s="49" customFormat="1" ht="15" customHeight="1" x14ac:dyDescent="0.25">
      <c r="A25" s="87" t="s">
        <v>143</v>
      </c>
      <c r="B25" s="64" t="s">
        <v>106</v>
      </c>
      <c r="C25" s="65" t="s">
        <v>113</v>
      </c>
      <c r="D25" s="66">
        <v>5</v>
      </c>
      <c r="E25" s="67"/>
      <c r="F25" s="68">
        <v>3</v>
      </c>
      <c r="G25" s="69">
        <f t="shared" si="2"/>
        <v>108</v>
      </c>
      <c r="H25" s="70"/>
      <c r="I25" s="71" t="s">
        <v>41</v>
      </c>
      <c r="J25" s="68"/>
      <c r="K25" s="68"/>
      <c r="L25" s="72"/>
      <c r="M25" s="73">
        <f t="shared" ref="M25" si="16">SUM(N25:P25)</f>
        <v>48</v>
      </c>
      <c r="N25" s="74">
        <f t="shared" si="4"/>
        <v>2</v>
      </c>
      <c r="O25" s="75">
        <f t="shared" si="5"/>
        <v>0</v>
      </c>
      <c r="P25" s="225">
        <f t="shared" ref="P25" si="17">SUM(Q25:S25)</f>
        <v>46</v>
      </c>
      <c r="Q25" s="76">
        <v>22</v>
      </c>
      <c r="R25" s="76">
        <v>24</v>
      </c>
      <c r="S25" s="76"/>
      <c r="T25" s="73">
        <f t="shared" ref="T25:T26" si="18">SUM(U25:V25)</f>
        <v>60</v>
      </c>
      <c r="U25" s="74">
        <f t="shared" ref="U25:U26" si="19">IF(H25="+",27,0)</f>
        <v>0</v>
      </c>
      <c r="V25" s="75">
        <f t="shared" ref="V25:V26" si="20">G25-M25-U25</f>
        <v>60</v>
      </c>
      <c r="W25" s="62"/>
      <c r="X25" s="63"/>
      <c r="Y25" s="48"/>
      <c r="Z25" s="48"/>
    </row>
    <row r="26" spans="1:26" s="49" customFormat="1" ht="53.25" customHeight="1" x14ac:dyDescent="0.25">
      <c r="A26" s="87" t="s">
        <v>144</v>
      </c>
      <c r="B26" s="64" t="s">
        <v>218</v>
      </c>
      <c r="C26" s="65" t="s">
        <v>113</v>
      </c>
      <c r="D26" s="66">
        <v>7</v>
      </c>
      <c r="E26" s="67"/>
      <c r="F26" s="68">
        <v>2</v>
      </c>
      <c r="G26" s="69">
        <f t="shared" si="2"/>
        <v>72</v>
      </c>
      <c r="H26" s="70"/>
      <c r="I26" s="71" t="s">
        <v>40</v>
      </c>
      <c r="J26" s="68"/>
      <c r="K26" s="68"/>
      <c r="L26" s="72"/>
      <c r="M26" s="73">
        <f t="shared" ref="M26" si="21">SUM(N26:P26)</f>
        <v>32</v>
      </c>
      <c r="N26" s="74">
        <f t="shared" si="4"/>
        <v>2</v>
      </c>
      <c r="O26" s="75">
        <f t="shared" si="5"/>
        <v>0</v>
      </c>
      <c r="P26" s="225">
        <f t="shared" ref="P26" si="22">SUM(Q26:S26)</f>
        <v>30</v>
      </c>
      <c r="Q26" s="76">
        <v>14</v>
      </c>
      <c r="R26" s="76">
        <v>16</v>
      </c>
      <c r="S26" s="76"/>
      <c r="T26" s="73">
        <f t="shared" si="18"/>
        <v>40</v>
      </c>
      <c r="U26" s="74">
        <f t="shared" si="19"/>
        <v>0</v>
      </c>
      <c r="V26" s="75">
        <f t="shared" si="20"/>
        <v>40</v>
      </c>
      <c r="W26" s="62"/>
      <c r="X26" s="63"/>
      <c r="Y26" s="48"/>
      <c r="Z26" s="48"/>
    </row>
    <row r="27" spans="1:26" s="49" customFormat="1" ht="15" customHeight="1" x14ac:dyDescent="0.25">
      <c r="A27" s="263" t="s">
        <v>145</v>
      </c>
      <c r="B27" s="50" t="s">
        <v>43</v>
      </c>
      <c r="C27" s="51" t="s">
        <v>44</v>
      </c>
      <c r="D27" s="52"/>
      <c r="E27" s="53">
        <f>SUM(F28:F30)</f>
        <v>10</v>
      </c>
      <c r="F27" s="54"/>
      <c r="G27" s="218">
        <f>E27*36</f>
        <v>360</v>
      </c>
      <c r="H27" s="55"/>
      <c r="I27" s="56"/>
      <c r="J27" s="54"/>
      <c r="K27" s="54"/>
      <c r="L27" s="57"/>
      <c r="M27" s="197"/>
      <c r="N27" s="59"/>
      <c r="O27" s="207"/>
      <c r="P27" s="212"/>
      <c r="Q27" s="61"/>
      <c r="R27" s="61"/>
      <c r="S27" s="213"/>
      <c r="T27" s="58"/>
      <c r="U27" s="59"/>
      <c r="V27" s="60"/>
      <c r="W27" s="62"/>
      <c r="X27" s="63"/>
      <c r="Y27" s="48"/>
      <c r="Z27" s="48"/>
    </row>
    <row r="28" spans="1:26" s="49" customFormat="1" ht="15" customHeight="1" x14ac:dyDescent="0.25">
      <c r="A28" s="264"/>
      <c r="B28" s="64" t="s">
        <v>43</v>
      </c>
      <c r="C28" s="65" t="s">
        <v>44</v>
      </c>
      <c r="D28" s="66">
        <v>1</v>
      </c>
      <c r="E28" s="67"/>
      <c r="F28" s="68">
        <v>4</v>
      </c>
      <c r="G28" s="69">
        <f t="shared" ref="G28:G32" si="23">F28*36</f>
        <v>144</v>
      </c>
      <c r="H28" s="70"/>
      <c r="I28" s="71" t="s">
        <v>40</v>
      </c>
      <c r="J28" s="68"/>
      <c r="K28" s="68"/>
      <c r="L28" s="72" t="s">
        <v>40</v>
      </c>
      <c r="M28" s="73">
        <f t="shared" ref="M28:M31" si="24">SUM(N28:P28)</f>
        <v>72</v>
      </c>
      <c r="N28" s="74">
        <f t="shared" ref="N28:N32" si="25">IF(I28="+",2,0)+IF(I28="д",2,0)+IF(J28="+",2,0)+IF(K28="+",1,0)</f>
        <v>2</v>
      </c>
      <c r="O28" s="75">
        <f t="shared" ref="O28:O32" si="26">IF(H28="+",9,0)</f>
        <v>0</v>
      </c>
      <c r="P28" s="225">
        <f t="shared" ref="P28:P30" si="27">SUM(Q28:S28)</f>
        <v>70</v>
      </c>
      <c r="Q28" s="76">
        <v>26</v>
      </c>
      <c r="R28" s="76">
        <v>44</v>
      </c>
      <c r="S28" s="76"/>
      <c r="T28" s="73">
        <f t="shared" ref="T28:T32" si="28">SUM(U28:V28)</f>
        <v>72</v>
      </c>
      <c r="U28" s="74">
        <f t="shared" ref="U28:U32" si="29">IF(H28="+",27,0)</f>
        <v>0</v>
      </c>
      <c r="V28" s="75">
        <f t="shared" ref="V28:V32" si="30">G28-M28-U28</f>
        <v>72</v>
      </c>
      <c r="W28" s="62"/>
      <c r="X28" s="63"/>
      <c r="Y28" s="48">
        <f t="shared" si="10"/>
        <v>0</v>
      </c>
      <c r="Z28" s="48">
        <f t="shared" si="11"/>
        <v>0</v>
      </c>
    </row>
    <row r="29" spans="1:26" s="49" customFormat="1" ht="15" customHeight="1" x14ac:dyDescent="0.25">
      <c r="A29" s="264"/>
      <c r="B29" s="64" t="s">
        <v>43</v>
      </c>
      <c r="C29" s="65" t="s">
        <v>44</v>
      </c>
      <c r="D29" s="66">
        <v>2</v>
      </c>
      <c r="E29" s="67"/>
      <c r="F29" s="68">
        <v>3</v>
      </c>
      <c r="G29" s="69">
        <f t="shared" si="23"/>
        <v>108</v>
      </c>
      <c r="H29" s="70"/>
      <c r="I29" s="71" t="s">
        <v>41</v>
      </c>
      <c r="J29" s="68"/>
      <c r="K29" s="68"/>
      <c r="L29" s="72" t="s">
        <v>40</v>
      </c>
      <c r="M29" s="73">
        <f t="shared" si="24"/>
        <v>76</v>
      </c>
      <c r="N29" s="74">
        <f t="shared" si="25"/>
        <v>2</v>
      </c>
      <c r="O29" s="75">
        <f t="shared" si="26"/>
        <v>0</v>
      </c>
      <c r="P29" s="225">
        <f t="shared" si="27"/>
        <v>74</v>
      </c>
      <c r="Q29" s="76">
        <v>28</v>
      </c>
      <c r="R29" s="76">
        <v>46</v>
      </c>
      <c r="S29" s="76"/>
      <c r="T29" s="73">
        <f t="shared" si="28"/>
        <v>32</v>
      </c>
      <c r="U29" s="74">
        <f t="shared" si="29"/>
        <v>0</v>
      </c>
      <c r="V29" s="75">
        <f t="shared" si="30"/>
        <v>32</v>
      </c>
      <c r="W29" s="62"/>
      <c r="X29" s="63"/>
      <c r="Y29" s="48"/>
      <c r="Z29" s="48"/>
    </row>
    <row r="30" spans="1:26" s="49" customFormat="1" ht="15" customHeight="1" x14ac:dyDescent="0.25">
      <c r="A30" s="265"/>
      <c r="B30" s="64" t="s">
        <v>43</v>
      </c>
      <c r="C30" s="65" t="s">
        <v>44</v>
      </c>
      <c r="D30" s="66">
        <v>3</v>
      </c>
      <c r="E30" s="67"/>
      <c r="F30" s="68">
        <v>3</v>
      </c>
      <c r="G30" s="69">
        <f t="shared" si="23"/>
        <v>108</v>
      </c>
      <c r="H30" s="70" t="s">
        <v>40</v>
      </c>
      <c r="I30" s="71"/>
      <c r="J30" s="68"/>
      <c r="K30" s="68"/>
      <c r="L30" s="72" t="s">
        <v>40</v>
      </c>
      <c r="M30" s="73">
        <f t="shared" si="24"/>
        <v>45</v>
      </c>
      <c r="N30" s="74">
        <f t="shared" si="25"/>
        <v>0</v>
      </c>
      <c r="O30" s="75">
        <f t="shared" si="26"/>
        <v>9</v>
      </c>
      <c r="P30" s="225">
        <f t="shared" si="27"/>
        <v>36</v>
      </c>
      <c r="Q30" s="76">
        <v>14</v>
      </c>
      <c r="R30" s="76">
        <v>22</v>
      </c>
      <c r="S30" s="76"/>
      <c r="T30" s="73">
        <f t="shared" si="28"/>
        <v>63</v>
      </c>
      <c r="U30" s="74">
        <f t="shared" si="29"/>
        <v>27</v>
      </c>
      <c r="V30" s="75">
        <f t="shared" si="30"/>
        <v>36</v>
      </c>
      <c r="W30" s="62"/>
      <c r="X30" s="63"/>
      <c r="Y30" s="48">
        <f t="shared" si="10"/>
        <v>0</v>
      </c>
      <c r="Z30" s="48">
        <f t="shared" si="11"/>
        <v>0</v>
      </c>
    </row>
    <row r="31" spans="1:26" s="49" customFormat="1" ht="15" customHeight="1" x14ac:dyDescent="0.25">
      <c r="A31" s="87" t="s">
        <v>146</v>
      </c>
      <c r="B31" s="64" t="s">
        <v>108</v>
      </c>
      <c r="C31" s="65" t="s">
        <v>109</v>
      </c>
      <c r="D31" s="66">
        <v>1</v>
      </c>
      <c r="E31" s="67"/>
      <c r="F31" s="68">
        <v>3</v>
      </c>
      <c r="G31" s="69">
        <f t="shared" si="23"/>
        <v>108</v>
      </c>
      <c r="H31" s="70"/>
      <c r="I31" s="71" t="s">
        <v>40</v>
      </c>
      <c r="J31" s="68"/>
      <c r="K31" s="68"/>
      <c r="L31" s="72"/>
      <c r="M31" s="73">
        <f t="shared" si="24"/>
        <v>56</v>
      </c>
      <c r="N31" s="74">
        <f t="shared" si="25"/>
        <v>2</v>
      </c>
      <c r="O31" s="75">
        <f t="shared" si="26"/>
        <v>0</v>
      </c>
      <c r="P31" s="225">
        <f t="shared" ref="P31:P32" si="31">SUM(Q31:S31)</f>
        <v>54</v>
      </c>
      <c r="Q31" s="76">
        <v>18</v>
      </c>
      <c r="R31" s="76"/>
      <c r="S31" s="76">
        <v>36</v>
      </c>
      <c r="T31" s="73">
        <f t="shared" si="28"/>
        <v>52</v>
      </c>
      <c r="U31" s="74">
        <f t="shared" si="29"/>
        <v>0</v>
      </c>
      <c r="V31" s="75">
        <f t="shared" si="30"/>
        <v>52</v>
      </c>
      <c r="W31" s="62"/>
      <c r="X31" s="63"/>
      <c r="Y31" s="48"/>
      <c r="Z31" s="48"/>
    </row>
    <row r="32" spans="1:26" s="49" customFormat="1" ht="15" customHeight="1" x14ac:dyDescent="0.25">
      <c r="A32" s="87" t="s">
        <v>147</v>
      </c>
      <c r="B32" s="64" t="s">
        <v>110</v>
      </c>
      <c r="C32" s="65" t="s">
        <v>111</v>
      </c>
      <c r="D32" s="66">
        <v>1</v>
      </c>
      <c r="E32" s="67"/>
      <c r="F32" s="68">
        <v>4</v>
      </c>
      <c r="G32" s="69">
        <f t="shared" si="23"/>
        <v>144</v>
      </c>
      <c r="H32" s="70" t="s">
        <v>40</v>
      </c>
      <c r="I32" s="71"/>
      <c r="J32" s="68"/>
      <c r="K32" s="68"/>
      <c r="L32" s="72"/>
      <c r="M32" s="73">
        <f t="shared" ref="M32" si="32">SUM(N32:P32)</f>
        <v>61</v>
      </c>
      <c r="N32" s="74">
        <f t="shared" si="25"/>
        <v>0</v>
      </c>
      <c r="O32" s="75">
        <f t="shared" si="26"/>
        <v>9</v>
      </c>
      <c r="P32" s="225">
        <f t="shared" si="31"/>
        <v>52</v>
      </c>
      <c r="Q32" s="76">
        <v>20</v>
      </c>
      <c r="R32" s="76"/>
      <c r="S32" s="76">
        <v>32</v>
      </c>
      <c r="T32" s="73">
        <f t="shared" si="28"/>
        <v>83</v>
      </c>
      <c r="U32" s="74">
        <f t="shared" si="29"/>
        <v>27</v>
      </c>
      <c r="V32" s="75">
        <f t="shared" si="30"/>
        <v>56</v>
      </c>
      <c r="W32" s="62"/>
      <c r="X32" s="63"/>
      <c r="Y32" s="48"/>
      <c r="Z32" s="48"/>
    </row>
    <row r="33" spans="1:26" s="49" customFormat="1" ht="15" customHeight="1" x14ac:dyDescent="0.25">
      <c r="A33" s="263" t="s">
        <v>148</v>
      </c>
      <c r="B33" s="50" t="s">
        <v>45</v>
      </c>
      <c r="C33" s="51" t="s">
        <v>46</v>
      </c>
      <c r="D33" s="52"/>
      <c r="E33" s="53">
        <f>SUM(F34:F36)</f>
        <v>8</v>
      </c>
      <c r="F33" s="54"/>
      <c r="G33" s="218">
        <f>E33*36</f>
        <v>288</v>
      </c>
      <c r="H33" s="55"/>
      <c r="I33" s="56"/>
      <c r="J33" s="54"/>
      <c r="K33" s="54"/>
      <c r="L33" s="57"/>
      <c r="M33" s="197"/>
      <c r="N33" s="59"/>
      <c r="O33" s="207"/>
      <c r="P33" s="212"/>
      <c r="Q33" s="61"/>
      <c r="R33" s="61"/>
      <c r="S33" s="213"/>
      <c r="T33" s="58"/>
      <c r="U33" s="59"/>
      <c r="V33" s="60"/>
      <c r="W33" s="62"/>
      <c r="X33" s="63"/>
      <c r="Y33" s="48"/>
      <c r="Z33" s="48"/>
    </row>
    <row r="34" spans="1:26" s="49" customFormat="1" ht="15" customHeight="1" x14ac:dyDescent="0.25">
      <c r="A34" s="264"/>
      <c r="B34" s="64" t="s">
        <v>45</v>
      </c>
      <c r="C34" s="65" t="s">
        <v>46</v>
      </c>
      <c r="D34" s="66">
        <v>1</v>
      </c>
      <c r="E34" s="67"/>
      <c r="F34" s="68">
        <v>2</v>
      </c>
      <c r="G34" s="69">
        <f t="shared" ref="G34:G39" si="33">F34*36</f>
        <v>72</v>
      </c>
      <c r="H34" s="70"/>
      <c r="I34" s="71" t="s">
        <v>40</v>
      </c>
      <c r="J34" s="68"/>
      <c r="K34" s="68"/>
      <c r="L34" s="72"/>
      <c r="M34" s="73">
        <f t="shared" ref="M34:M37" si="34">SUM(N34:P34)</f>
        <v>34</v>
      </c>
      <c r="N34" s="74">
        <f t="shared" ref="N34:N39" si="35">IF(I34="+",2,0)+IF(I34="д",2,0)+IF(J34="+",2,0)+IF(K34="+",1,0)</f>
        <v>2</v>
      </c>
      <c r="O34" s="75">
        <f t="shared" ref="O34:O39" si="36">IF(H34="+",9,0)</f>
        <v>0</v>
      </c>
      <c r="P34" s="225">
        <f t="shared" ref="P34:P37" si="37">SUM(Q34:S34)</f>
        <v>32</v>
      </c>
      <c r="Q34" s="76">
        <v>16</v>
      </c>
      <c r="R34" s="76">
        <v>16</v>
      </c>
      <c r="S34" s="76"/>
      <c r="T34" s="73">
        <f t="shared" si="7"/>
        <v>38</v>
      </c>
      <c r="U34" s="74">
        <f t="shared" si="8"/>
        <v>0</v>
      </c>
      <c r="V34" s="75">
        <f t="shared" si="9"/>
        <v>38</v>
      </c>
      <c r="W34" s="62"/>
      <c r="X34" s="63"/>
      <c r="Y34" s="48">
        <f t="shared" si="10"/>
        <v>0</v>
      </c>
      <c r="Z34" s="48">
        <f t="shared" si="11"/>
        <v>0</v>
      </c>
    </row>
    <row r="35" spans="1:26" s="49" customFormat="1" ht="15" customHeight="1" x14ac:dyDescent="0.25">
      <c r="A35" s="264"/>
      <c r="B35" s="64" t="s">
        <v>45</v>
      </c>
      <c r="C35" s="65" t="s">
        <v>46</v>
      </c>
      <c r="D35" s="66">
        <v>2</v>
      </c>
      <c r="E35" s="67"/>
      <c r="F35" s="68">
        <v>3</v>
      </c>
      <c r="G35" s="69">
        <f t="shared" ref="G35" si="38">F35*36</f>
        <v>108</v>
      </c>
      <c r="H35" s="70"/>
      <c r="I35" s="71" t="s">
        <v>40</v>
      </c>
      <c r="J35" s="68"/>
      <c r="K35" s="68"/>
      <c r="L35" s="72"/>
      <c r="M35" s="73">
        <f t="shared" ref="M35" si="39">SUM(N35:P35)</f>
        <v>50</v>
      </c>
      <c r="N35" s="74">
        <f t="shared" ref="N35" si="40">IF(I35="+",2,0)+IF(I35="д",2,0)+IF(J35="+",2,0)+IF(K35="+",1,0)</f>
        <v>2</v>
      </c>
      <c r="O35" s="75">
        <f t="shared" ref="O35" si="41">IF(H35="+",9,0)</f>
        <v>0</v>
      </c>
      <c r="P35" s="225">
        <f t="shared" ref="P35" si="42">SUM(Q35:S35)</f>
        <v>48</v>
      </c>
      <c r="Q35" s="76">
        <v>18</v>
      </c>
      <c r="R35" s="76">
        <v>10</v>
      </c>
      <c r="S35" s="76">
        <v>20</v>
      </c>
      <c r="T35" s="73">
        <f t="shared" ref="T35" si="43">SUM(U35:V35)</f>
        <v>58</v>
      </c>
      <c r="U35" s="74">
        <f t="shared" ref="U35" si="44">IF(H35="+",27,0)</f>
        <v>0</v>
      </c>
      <c r="V35" s="75">
        <f t="shared" ref="V35" si="45">G35-M35-U35</f>
        <v>58</v>
      </c>
      <c r="W35" s="62"/>
      <c r="X35" s="63"/>
      <c r="Y35" s="48"/>
      <c r="Z35" s="48"/>
    </row>
    <row r="36" spans="1:26" s="49" customFormat="1" ht="15" customHeight="1" x14ac:dyDescent="0.25">
      <c r="A36" s="265"/>
      <c r="B36" s="64" t="s">
        <v>45</v>
      </c>
      <c r="C36" s="65" t="s">
        <v>46</v>
      </c>
      <c r="D36" s="66">
        <v>3</v>
      </c>
      <c r="E36" s="67"/>
      <c r="F36" s="68">
        <v>3</v>
      </c>
      <c r="G36" s="69">
        <f t="shared" si="33"/>
        <v>108</v>
      </c>
      <c r="H36" s="70" t="s">
        <v>40</v>
      </c>
      <c r="I36" s="71"/>
      <c r="J36" s="68"/>
      <c r="K36" s="68"/>
      <c r="L36" s="72" t="s">
        <v>40</v>
      </c>
      <c r="M36" s="73">
        <f t="shared" si="34"/>
        <v>57</v>
      </c>
      <c r="N36" s="74">
        <f t="shared" si="35"/>
        <v>0</v>
      </c>
      <c r="O36" s="75">
        <f t="shared" si="36"/>
        <v>9</v>
      </c>
      <c r="P36" s="225">
        <f t="shared" si="37"/>
        <v>48</v>
      </c>
      <c r="Q36" s="76">
        <v>18</v>
      </c>
      <c r="R36" s="76">
        <v>10</v>
      </c>
      <c r="S36" s="76">
        <v>20</v>
      </c>
      <c r="T36" s="73">
        <f t="shared" si="7"/>
        <v>51</v>
      </c>
      <c r="U36" s="74">
        <f t="shared" si="8"/>
        <v>27</v>
      </c>
      <c r="V36" s="75">
        <f t="shared" si="9"/>
        <v>24</v>
      </c>
      <c r="W36" s="62"/>
      <c r="X36" s="63"/>
      <c r="Y36" s="48">
        <f t="shared" si="10"/>
        <v>0</v>
      </c>
      <c r="Z36" s="48">
        <f t="shared" si="11"/>
        <v>0</v>
      </c>
    </row>
    <row r="37" spans="1:26" s="49" customFormat="1" ht="15" customHeight="1" x14ac:dyDescent="0.25">
      <c r="A37" s="87" t="s">
        <v>149</v>
      </c>
      <c r="B37" s="64" t="s">
        <v>112</v>
      </c>
      <c r="C37" s="65" t="s">
        <v>113</v>
      </c>
      <c r="D37" s="66">
        <v>6</v>
      </c>
      <c r="E37" s="67"/>
      <c r="F37" s="68">
        <v>2</v>
      </c>
      <c r="G37" s="69">
        <f t="shared" si="33"/>
        <v>72</v>
      </c>
      <c r="H37" s="70"/>
      <c r="I37" s="71" t="s">
        <v>40</v>
      </c>
      <c r="J37" s="68"/>
      <c r="K37" s="68"/>
      <c r="L37" s="72"/>
      <c r="M37" s="73">
        <f t="shared" si="34"/>
        <v>38</v>
      </c>
      <c r="N37" s="74">
        <f t="shared" si="35"/>
        <v>2</v>
      </c>
      <c r="O37" s="75">
        <f t="shared" si="36"/>
        <v>0</v>
      </c>
      <c r="P37" s="225">
        <f t="shared" si="37"/>
        <v>36</v>
      </c>
      <c r="Q37" s="76">
        <v>14</v>
      </c>
      <c r="R37" s="76">
        <v>22</v>
      </c>
      <c r="S37" s="76"/>
      <c r="T37" s="73">
        <f t="shared" si="7"/>
        <v>34</v>
      </c>
      <c r="U37" s="74">
        <f t="shared" si="8"/>
        <v>0</v>
      </c>
      <c r="V37" s="75">
        <f t="shared" si="9"/>
        <v>34</v>
      </c>
      <c r="W37" s="62"/>
      <c r="X37" s="63"/>
      <c r="Y37" s="48">
        <f t="shared" si="10"/>
        <v>0</v>
      </c>
      <c r="Z37" s="48">
        <f t="shared" si="11"/>
        <v>0</v>
      </c>
    </row>
    <row r="38" spans="1:26" s="49" customFormat="1" ht="15" customHeight="1" x14ac:dyDescent="0.25">
      <c r="A38" s="87" t="s">
        <v>150</v>
      </c>
      <c r="B38" s="100" t="s">
        <v>122</v>
      </c>
      <c r="C38" s="78" t="s">
        <v>115</v>
      </c>
      <c r="D38" s="79">
        <v>1</v>
      </c>
      <c r="E38" s="80"/>
      <c r="F38" s="81">
        <v>4</v>
      </c>
      <c r="G38" s="69">
        <f>F38*36</f>
        <v>144</v>
      </c>
      <c r="H38" s="101" t="s">
        <v>40</v>
      </c>
      <c r="I38" s="81"/>
      <c r="J38" s="81"/>
      <c r="K38" s="81"/>
      <c r="L38" s="102" t="s">
        <v>40</v>
      </c>
      <c r="M38" s="73">
        <f>SUM(N38:P38)</f>
        <v>67</v>
      </c>
      <c r="N38" s="74">
        <f>IF(I38="+",2,0)+IF(I38="д",2,0)+IF(J38="+",2,0)+IF(K38="+",1,0)</f>
        <v>0</v>
      </c>
      <c r="O38" s="75">
        <f>IF(H38="+",9,0)</f>
        <v>9</v>
      </c>
      <c r="P38" s="104">
        <f>SUM(Q38:S38)</f>
        <v>58</v>
      </c>
      <c r="Q38" s="105">
        <v>22</v>
      </c>
      <c r="R38" s="105"/>
      <c r="S38" s="106">
        <v>36</v>
      </c>
      <c r="T38" s="73">
        <f>SUM(U38:V38)</f>
        <v>77</v>
      </c>
      <c r="U38" s="74">
        <f>IF(H38="+",27,0)</f>
        <v>27</v>
      </c>
      <c r="V38" s="75">
        <f>G38-M38-U38</f>
        <v>50</v>
      </c>
      <c r="W38" s="62"/>
      <c r="X38" s="63"/>
      <c r="Y38" s="48"/>
      <c r="Z38" s="48"/>
    </row>
    <row r="39" spans="1:26" s="49" customFormat="1" ht="15" customHeight="1" x14ac:dyDescent="0.25">
      <c r="A39" s="87" t="s">
        <v>151</v>
      </c>
      <c r="B39" s="64" t="s">
        <v>114</v>
      </c>
      <c r="C39" s="65" t="s">
        <v>115</v>
      </c>
      <c r="D39" s="66">
        <v>2</v>
      </c>
      <c r="E39" s="67"/>
      <c r="F39" s="68">
        <v>3</v>
      </c>
      <c r="G39" s="69">
        <f t="shared" si="33"/>
        <v>108</v>
      </c>
      <c r="H39" s="70"/>
      <c r="I39" s="71" t="s">
        <v>40</v>
      </c>
      <c r="J39" s="68"/>
      <c r="K39" s="68"/>
      <c r="L39" s="72" t="s">
        <v>40</v>
      </c>
      <c r="M39" s="73">
        <f t="shared" ref="M39" si="46">SUM(N39:P39)</f>
        <v>60</v>
      </c>
      <c r="N39" s="74">
        <f t="shared" si="35"/>
        <v>2</v>
      </c>
      <c r="O39" s="75">
        <f t="shared" si="36"/>
        <v>0</v>
      </c>
      <c r="P39" s="225">
        <f t="shared" ref="P39" si="47">SUM(Q39:S39)</f>
        <v>58</v>
      </c>
      <c r="Q39" s="76">
        <v>22</v>
      </c>
      <c r="R39" s="76"/>
      <c r="S39" s="76">
        <v>36</v>
      </c>
      <c r="T39" s="73">
        <f t="shared" si="7"/>
        <v>48</v>
      </c>
      <c r="U39" s="74">
        <f t="shared" si="8"/>
        <v>0</v>
      </c>
      <c r="V39" s="75">
        <f t="shared" si="9"/>
        <v>48</v>
      </c>
      <c r="W39" s="62"/>
      <c r="X39" s="63"/>
      <c r="Y39" s="48"/>
      <c r="Z39" s="48"/>
    </row>
    <row r="40" spans="1:26" s="49" customFormat="1" ht="15" customHeight="1" x14ac:dyDescent="0.25">
      <c r="A40" s="263" t="s">
        <v>152</v>
      </c>
      <c r="B40" s="50" t="s">
        <v>201</v>
      </c>
      <c r="C40" s="51" t="s">
        <v>116</v>
      </c>
      <c r="D40" s="52"/>
      <c r="E40" s="53">
        <f>SUM(F41:F42)</f>
        <v>6</v>
      </c>
      <c r="F40" s="54"/>
      <c r="G40" s="226">
        <f>E40*36</f>
        <v>216</v>
      </c>
      <c r="H40" s="55"/>
      <c r="I40" s="56"/>
      <c r="J40" s="54"/>
      <c r="K40" s="54"/>
      <c r="L40" s="57"/>
      <c r="M40" s="58"/>
      <c r="N40" s="59"/>
      <c r="O40" s="60"/>
      <c r="P40" s="227"/>
      <c r="Q40" s="61"/>
      <c r="R40" s="61"/>
      <c r="S40" s="61"/>
      <c r="T40" s="58"/>
      <c r="U40" s="59"/>
      <c r="V40" s="60"/>
      <c r="W40" s="62"/>
      <c r="X40" s="63"/>
      <c r="Y40" s="48"/>
      <c r="Z40" s="48"/>
    </row>
    <row r="41" spans="1:26" s="49" customFormat="1" ht="15" customHeight="1" x14ac:dyDescent="0.25">
      <c r="A41" s="264"/>
      <c r="B41" s="64" t="s">
        <v>202</v>
      </c>
      <c r="C41" s="65" t="s">
        <v>116</v>
      </c>
      <c r="D41" s="66">
        <v>5</v>
      </c>
      <c r="E41" s="67"/>
      <c r="F41" s="68">
        <v>3</v>
      </c>
      <c r="G41" s="69">
        <f t="shared" ref="G41:G43" si="48">F41*36</f>
        <v>108</v>
      </c>
      <c r="H41" s="70"/>
      <c r="I41" s="71" t="s">
        <v>40</v>
      </c>
      <c r="J41" s="68"/>
      <c r="K41" s="68"/>
      <c r="L41" s="72" t="s">
        <v>40</v>
      </c>
      <c r="M41" s="73">
        <f t="shared" ref="M41:M43" si="49">SUM(N41:P41)</f>
        <v>48</v>
      </c>
      <c r="N41" s="74">
        <f t="shared" ref="N41:N43" si="50">IF(I41="+",2,0)+IF(I41="д",2,0)+IF(J41="+",2,0)+IF(K41="+",1,0)</f>
        <v>2</v>
      </c>
      <c r="O41" s="75">
        <f t="shared" ref="O41:O43" si="51">IF(H41="+",9,0)</f>
        <v>0</v>
      </c>
      <c r="P41" s="225">
        <f t="shared" ref="P41:P43" si="52">SUM(Q41:S41)</f>
        <v>46</v>
      </c>
      <c r="Q41" s="76">
        <v>18</v>
      </c>
      <c r="R41" s="76">
        <v>20</v>
      </c>
      <c r="S41" s="76">
        <v>8</v>
      </c>
      <c r="T41" s="73">
        <f t="shared" ref="T41:T43" si="53">SUM(U41:V41)</f>
        <v>60</v>
      </c>
      <c r="U41" s="74">
        <f t="shared" ref="U41:U43" si="54">IF(H41="+",27,0)</f>
        <v>0</v>
      </c>
      <c r="V41" s="75">
        <f t="shared" ref="V41:V43" si="55">G41-M41-U41</f>
        <v>60</v>
      </c>
      <c r="W41" s="62"/>
      <c r="X41" s="63"/>
      <c r="Y41" s="48"/>
      <c r="Z41" s="48"/>
    </row>
    <row r="42" spans="1:26" s="49" customFormat="1" ht="15" customHeight="1" x14ac:dyDescent="0.25">
      <c r="A42" s="265"/>
      <c r="B42" s="64" t="s">
        <v>203</v>
      </c>
      <c r="C42" s="65" t="s">
        <v>116</v>
      </c>
      <c r="D42" s="66">
        <v>6</v>
      </c>
      <c r="E42" s="67"/>
      <c r="F42" s="68">
        <v>3</v>
      </c>
      <c r="G42" s="69">
        <f t="shared" si="48"/>
        <v>108</v>
      </c>
      <c r="H42" s="70" t="s">
        <v>40</v>
      </c>
      <c r="I42" s="71" t="s">
        <v>39</v>
      </c>
      <c r="J42" s="68"/>
      <c r="K42" s="68"/>
      <c r="L42" s="72"/>
      <c r="M42" s="73">
        <f t="shared" si="49"/>
        <v>55</v>
      </c>
      <c r="N42" s="74">
        <f t="shared" si="50"/>
        <v>0</v>
      </c>
      <c r="O42" s="75">
        <f t="shared" si="51"/>
        <v>9</v>
      </c>
      <c r="P42" s="225">
        <f t="shared" si="52"/>
        <v>46</v>
      </c>
      <c r="Q42" s="76">
        <v>18</v>
      </c>
      <c r="R42" s="76">
        <v>20</v>
      </c>
      <c r="S42" s="76">
        <v>8</v>
      </c>
      <c r="T42" s="73">
        <f t="shared" si="53"/>
        <v>53</v>
      </c>
      <c r="U42" s="74">
        <f t="shared" si="54"/>
        <v>27</v>
      </c>
      <c r="V42" s="75">
        <f t="shared" si="55"/>
        <v>26</v>
      </c>
      <c r="W42" s="62"/>
      <c r="X42" s="63"/>
      <c r="Y42" s="48"/>
      <c r="Z42" s="48"/>
    </row>
    <row r="43" spans="1:26" s="49" customFormat="1" ht="15" customHeight="1" x14ac:dyDescent="0.25">
      <c r="A43" s="87" t="s">
        <v>153</v>
      </c>
      <c r="B43" s="64" t="s">
        <v>217</v>
      </c>
      <c r="C43" s="65" t="s">
        <v>113</v>
      </c>
      <c r="D43" s="66">
        <v>7</v>
      </c>
      <c r="E43" s="67"/>
      <c r="F43" s="68">
        <v>3</v>
      </c>
      <c r="G43" s="69">
        <f t="shared" si="48"/>
        <v>108</v>
      </c>
      <c r="H43" s="70" t="s">
        <v>40</v>
      </c>
      <c r="I43" s="71"/>
      <c r="J43" s="68"/>
      <c r="K43" s="68"/>
      <c r="L43" s="72"/>
      <c r="M43" s="73">
        <f t="shared" si="49"/>
        <v>47</v>
      </c>
      <c r="N43" s="74">
        <f t="shared" si="50"/>
        <v>0</v>
      </c>
      <c r="O43" s="75">
        <f t="shared" si="51"/>
        <v>9</v>
      </c>
      <c r="P43" s="225">
        <f t="shared" si="52"/>
        <v>38</v>
      </c>
      <c r="Q43" s="76">
        <v>18</v>
      </c>
      <c r="R43" s="76">
        <v>20</v>
      </c>
      <c r="S43" s="76"/>
      <c r="T43" s="73">
        <f t="shared" si="53"/>
        <v>61</v>
      </c>
      <c r="U43" s="74">
        <f t="shared" si="54"/>
        <v>27</v>
      </c>
      <c r="V43" s="75">
        <f t="shared" si="55"/>
        <v>34</v>
      </c>
      <c r="W43" s="62"/>
      <c r="X43" s="63"/>
      <c r="Y43" s="48"/>
      <c r="Z43" s="48"/>
    </row>
    <row r="44" spans="1:26" s="49" customFormat="1" ht="15" customHeight="1" x14ac:dyDescent="0.25">
      <c r="A44" s="263" t="s">
        <v>154</v>
      </c>
      <c r="B44" s="50" t="s">
        <v>129</v>
      </c>
      <c r="C44" s="51" t="s">
        <v>107</v>
      </c>
      <c r="D44" s="52"/>
      <c r="E44" s="53">
        <f>SUM(F45:F46)</f>
        <v>6</v>
      </c>
      <c r="F44" s="54"/>
      <c r="G44" s="226">
        <f>E44*36</f>
        <v>216</v>
      </c>
      <c r="H44" s="55"/>
      <c r="I44" s="56"/>
      <c r="J44" s="54"/>
      <c r="K44" s="54"/>
      <c r="L44" s="57"/>
      <c r="M44" s="58"/>
      <c r="N44" s="59"/>
      <c r="O44" s="60"/>
      <c r="P44" s="227"/>
      <c r="Q44" s="61"/>
      <c r="R44" s="61"/>
      <c r="S44" s="61"/>
      <c r="T44" s="58"/>
      <c r="U44" s="59"/>
      <c r="V44" s="60"/>
      <c r="W44" s="62"/>
      <c r="X44" s="63"/>
      <c r="Y44" s="48"/>
      <c r="Z44" s="48"/>
    </row>
    <row r="45" spans="1:26" s="49" customFormat="1" ht="15" customHeight="1" x14ac:dyDescent="0.25">
      <c r="A45" s="264"/>
      <c r="B45" s="64" t="s">
        <v>129</v>
      </c>
      <c r="C45" s="65" t="s">
        <v>107</v>
      </c>
      <c r="D45" s="66">
        <v>3</v>
      </c>
      <c r="E45" s="67"/>
      <c r="F45" s="68">
        <v>3</v>
      </c>
      <c r="G45" s="69">
        <f t="shared" ref="G45:G61" si="56">F45*36</f>
        <v>108</v>
      </c>
      <c r="H45" s="70"/>
      <c r="I45" s="71" t="s">
        <v>40</v>
      </c>
      <c r="J45" s="68"/>
      <c r="K45" s="68"/>
      <c r="L45" s="72" t="s">
        <v>40</v>
      </c>
      <c r="M45" s="73">
        <f t="shared" ref="M45:M61" si="57">SUM(N45:P45)</f>
        <v>38</v>
      </c>
      <c r="N45" s="74">
        <f t="shared" ref="N45:N61" si="58">IF(I45="+",2,0)+IF(I45="д",2,0)+IF(J45="+",2,0)+IF(K45="+",1,0)</f>
        <v>2</v>
      </c>
      <c r="O45" s="75">
        <f t="shared" ref="O45:O61" si="59">IF(H45="+",9,0)</f>
        <v>0</v>
      </c>
      <c r="P45" s="225">
        <f t="shared" ref="P45:P61" si="60">SUM(Q45:S45)</f>
        <v>36</v>
      </c>
      <c r="Q45" s="76">
        <v>12</v>
      </c>
      <c r="R45" s="76"/>
      <c r="S45" s="76">
        <v>24</v>
      </c>
      <c r="T45" s="73">
        <f t="shared" ref="T45:T46" si="61">SUM(U45:V45)</f>
        <v>70</v>
      </c>
      <c r="U45" s="74">
        <f t="shared" ref="U45:U46" si="62">IF(H45="+",27,0)</f>
        <v>0</v>
      </c>
      <c r="V45" s="75">
        <f t="shared" ref="V45:V46" si="63">G45-M45-U45</f>
        <v>70</v>
      </c>
      <c r="W45" s="62"/>
      <c r="X45" s="63"/>
      <c r="Y45" s="48"/>
      <c r="Z45" s="48"/>
    </row>
    <row r="46" spans="1:26" s="49" customFormat="1" ht="15" x14ac:dyDescent="0.25">
      <c r="A46" s="265"/>
      <c r="B46" s="64" t="s">
        <v>129</v>
      </c>
      <c r="C46" s="65" t="s">
        <v>107</v>
      </c>
      <c r="D46" s="66">
        <v>4</v>
      </c>
      <c r="E46" s="67"/>
      <c r="F46" s="68">
        <v>3</v>
      </c>
      <c r="G46" s="69">
        <f t="shared" si="56"/>
        <v>108</v>
      </c>
      <c r="H46" s="70" t="s">
        <v>40</v>
      </c>
      <c r="I46" s="71"/>
      <c r="J46" s="68"/>
      <c r="K46" s="68"/>
      <c r="L46" s="72"/>
      <c r="M46" s="73">
        <f t="shared" si="57"/>
        <v>45</v>
      </c>
      <c r="N46" s="74">
        <f t="shared" si="58"/>
        <v>0</v>
      </c>
      <c r="O46" s="75">
        <f t="shared" si="59"/>
        <v>9</v>
      </c>
      <c r="P46" s="225">
        <f t="shared" si="60"/>
        <v>36</v>
      </c>
      <c r="Q46" s="76">
        <v>12</v>
      </c>
      <c r="R46" s="76"/>
      <c r="S46" s="76">
        <v>24</v>
      </c>
      <c r="T46" s="73">
        <f t="shared" si="61"/>
        <v>63</v>
      </c>
      <c r="U46" s="74">
        <f t="shared" si="62"/>
        <v>27</v>
      </c>
      <c r="V46" s="75">
        <f t="shared" si="63"/>
        <v>36</v>
      </c>
      <c r="W46" s="62"/>
      <c r="X46" s="63"/>
      <c r="Y46" s="48"/>
      <c r="Z46" s="48"/>
    </row>
    <row r="47" spans="1:26" s="49" customFormat="1" ht="15" customHeight="1" x14ac:dyDescent="0.25">
      <c r="A47" s="87" t="s">
        <v>155</v>
      </c>
      <c r="B47" s="228" t="s">
        <v>130</v>
      </c>
      <c r="C47" s="65" t="s">
        <v>113</v>
      </c>
      <c r="D47" s="66">
        <v>2</v>
      </c>
      <c r="E47" s="67"/>
      <c r="F47" s="68">
        <v>4</v>
      </c>
      <c r="G47" s="69">
        <f t="shared" si="56"/>
        <v>144</v>
      </c>
      <c r="H47" s="70" t="s">
        <v>40</v>
      </c>
      <c r="I47" s="71"/>
      <c r="J47" s="68"/>
      <c r="K47" s="68"/>
      <c r="L47" s="72" t="s">
        <v>40</v>
      </c>
      <c r="M47" s="73">
        <f t="shared" si="57"/>
        <v>45</v>
      </c>
      <c r="N47" s="74">
        <f t="shared" si="58"/>
        <v>0</v>
      </c>
      <c r="O47" s="75">
        <f t="shared" si="59"/>
        <v>9</v>
      </c>
      <c r="P47" s="225">
        <f t="shared" si="60"/>
        <v>36</v>
      </c>
      <c r="Q47" s="76">
        <v>16</v>
      </c>
      <c r="R47" s="76">
        <v>4</v>
      </c>
      <c r="S47" s="76">
        <v>16</v>
      </c>
      <c r="T47" s="73">
        <f t="shared" ref="T47:T61" si="64">SUM(U47:V47)</f>
        <v>99</v>
      </c>
      <c r="U47" s="74">
        <f t="shared" ref="U47:U61" si="65">IF(H47="+",27,0)</f>
        <v>27</v>
      </c>
      <c r="V47" s="75">
        <f t="shared" ref="V47:V61" si="66">G47-M47-U47</f>
        <v>72</v>
      </c>
      <c r="W47" s="62"/>
      <c r="X47" s="63"/>
      <c r="Y47" s="48"/>
      <c r="Z47" s="48"/>
    </row>
    <row r="48" spans="1:26" s="49" customFormat="1" ht="15" customHeight="1" x14ac:dyDescent="0.25">
      <c r="A48" s="87" t="s">
        <v>157</v>
      </c>
      <c r="B48" s="235" t="s">
        <v>208</v>
      </c>
      <c r="C48" s="241" t="s">
        <v>113</v>
      </c>
      <c r="D48" s="66">
        <v>2</v>
      </c>
      <c r="E48" s="67"/>
      <c r="F48" s="68">
        <v>2</v>
      </c>
      <c r="G48" s="69">
        <f t="shared" ref="G48:G51" si="67">F48*36</f>
        <v>72</v>
      </c>
      <c r="H48" s="70"/>
      <c r="I48" s="71" t="s">
        <v>40</v>
      </c>
      <c r="J48" s="68"/>
      <c r="K48" s="68"/>
      <c r="L48" s="72"/>
      <c r="M48" s="73">
        <f t="shared" ref="M48" si="68">SUM(N48:P48)</f>
        <v>56</v>
      </c>
      <c r="N48" s="74">
        <f t="shared" ref="N48:N51" si="69">IF(I48="+",2,0)+IF(I48="д",2,0)+IF(J48="+",2,0)+IF(K48="+",1,0)</f>
        <v>2</v>
      </c>
      <c r="O48" s="75">
        <f t="shared" ref="O48:O51" si="70">IF(H48="+",9,0)</f>
        <v>0</v>
      </c>
      <c r="P48" s="225">
        <f t="shared" ref="P48:P51" si="71">SUM(Q48:S48)</f>
        <v>54</v>
      </c>
      <c r="Q48" s="254">
        <v>20</v>
      </c>
      <c r="R48" s="254">
        <v>34</v>
      </c>
      <c r="S48" s="254"/>
      <c r="T48" s="73">
        <f t="shared" ref="T48:T51" si="72">SUM(U48:V48)</f>
        <v>16</v>
      </c>
      <c r="U48" s="74">
        <f t="shared" ref="U48:U51" si="73">IF(H48="+",27,0)</f>
        <v>0</v>
      </c>
      <c r="V48" s="75">
        <f t="shared" ref="V48:V51" si="74">G48-M48-U48</f>
        <v>16</v>
      </c>
      <c r="W48" s="62"/>
      <c r="X48" s="63"/>
      <c r="Y48" s="48"/>
      <c r="Z48" s="48"/>
    </row>
    <row r="49" spans="1:26" s="49" customFormat="1" ht="25.5" customHeight="1" x14ac:dyDescent="0.25">
      <c r="A49" s="87" t="s">
        <v>158</v>
      </c>
      <c r="B49" s="235" t="s">
        <v>209</v>
      </c>
      <c r="C49" s="241" t="s">
        <v>113</v>
      </c>
      <c r="D49" s="66">
        <v>2</v>
      </c>
      <c r="E49" s="67"/>
      <c r="F49" s="68">
        <v>2</v>
      </c>
      <c r="G49" s="69">
        <f t="shared" si="67"/>
        <v>72</v>
      </c>
      <c r="H49" s="70"/>
      <c r="I49" s="71" t="s">
        <v>40</v>
      </c>
      <c r="J49" s="68"/>
      <c r="K49" s="68"/>
      <c r="L49" s="72"/>
      <c r="M49" s="73">
        <f t="shared" ref="M49:M50" si="75">SUM(N49:P49)</f>
        <v>30</v>
      </c>
      <c r="N49" s="74">
        <f t="shared" ref="N49:N50" si="76">IF(I49="+",2,0)+IF(I49="д",2,0)+IF(J49="+",2,0)+IF(K49="+",1,0)</f>
        <v>2</v>
      </c>
      <c r="O49" s="75">
        <f t="shared" ref="O49:O50" si="77">IF(H49="+",9,0)</f>
        <v>0</v>
      </c>
      <c r="P49" s="225">
        <f t="shared" ref="P49:P50" si="78">SUM(Q49:S49)</f>
        <v>28</v>
      </c>
      <c r="Q49" s="254">
        <v>8</v>
      </c>
      <c r="R49" s="254"/>
      <c r="S49" s="254">
        <v>20</v>
      </c>
      <c r="T49" s="73">
        <f t="shared" ref="T49:T50" si="79">SUM(U49:V49)</f>
        <v>42</v>
      </c>
      <c r="U49" s="74">
        <f t="shared" ref="U49:U50" si="80">IF(H49="+",27,0)</f>
        <v>0</v>
      </c>
      <c r="V49" s="75">
        <f t="shared" ref="V49:V50" si="81">G49-M49-U49</f>
        <v>42</v>
      </c>
      <c r="W49" s="62"/>
      <c r="X49" s="63"/>
      <c r="Y49" s="48"/>
      <c r="Z49" s="48"/>
    </row>
    <row r="50" spans="1:26" s="49" customFormat="1" ht="15" customHeight="1" x14ac:dyDescent="0.25">
      <c r="A50" s="87" t="s">
        <v>159</v>
      </c>
      <c r="B50" s="235" t="s">
        <v>210</v>
      </c>
      <c r="C50" s="241" t="s">
        <v>113</v>
      </c>
      <c r="D50" s="66">
        <v>2</v>
      </c>
      <c r="E50" s="67"/>
      <c r="F50" s="68">
        <v>2</v>
      </c>
      <c r="G50" s="69">
        <f t="shared" si="67"/>
        <v>72</v>
      </c>
      <c r="H50" s="70"/>
      <c r="I50" s="71" t="s">
        <v>40</v>
      </c>
      <c r="J50" s="68"/>
      <c r="K50" s="68"/>
      <c r="L50" s="72"/>
      <c r="M50" s="73">
        <f t="shared" si="75"/>
        <v>44</v>
      </c>
      <c r="N50" s="74">
        <f t="shared" si="76"/>
        <v>2</v>
      </c>
      <c r="O50" s="75">
        <f t="shared" si="77"/>
        <v>0</v>
      </c>
      <c r="P50" s="225">
        <f t="shared" si="78"/>
        <v>42</v>
      </c>
      <c r="Q50" s="254">
        <v>20</v>
      </c>
      <c r="R50" s="254">
        <v>22</v>
      </c>
      <c r="S50" s="254"/>
      <c r="T50" s="73">
        <f t="shared" si="79"/>
        <v>28</v>
      </c>
      <c r="U50" s="74">
        <f t="shared" si="80"/>
        <v>0</v>
      </c>
      <c r="V50" s="75">
        <f t="shared" si="81"/>
        <v>28</v>
      </c>
      <c r="W50" s="62"/>
      <c r="X50" s="63"/>
      <c r="Y50" s="48"/>
      <c r="Z50" s="48"/>
    </row>
    <row r="51" spans="1:26" s="49" customFormat="1" ht="25.5" customHeight="1" x14ac:dyDescent="0.25">
      <c r="A51" s="87" t="s">
        <v>160</v>
      </c>
      <c r="B51" s="235" t="s">
        <v>211</v>
      </c>
      <c r="C51" s="241" t="s">
        <v>113</v>
      </c>
      <c r="D51" s="79">
        <v>3</v>
      </c>
      <c r="E51" s="80"/>
      <c r="F51" s="81">
        <v>2</v>
      </c>
      <c r="G51" s="69">
        <f t="shared" si="67"/>
        <v>72</v>
      </c>
      <c r="H51" s="101"/>
      <c r="I51" s="81" t="s">
        <v>40</v>
      </c>
      <c r="J51" s="81"/>
      <c r="K51" s="81"/>
      <c r="L51" s="102"/>
      <c r="M51" s="73">
        <f t="shared" ref="M51:M52" si="82">SUM(N51:P51)</f>
        <v>44</v>
      </c>
      <c r="N51" s="74">
        <f t="shared" si="69"/>
        <v>2</v>
      </c>
      <c r="O51" s="75">
        <f t="shared" si="70"/>
        <v>0</v>
      </c>
      <c r="P51" s="104">
        <f t="shared" si="71"/>
        <v>42</v>
      </c>
      <c r="Q51" s="105">
        <v>20</v>
      </c>
      <c r="R51" s="105">
        <v>22</v>
      </c>
      <c r="S51" s="106"/>
      <c r="T51" s="73">
        <f t="shared" si="72"/>
        <v>28</v>
      </c>
      <c r="U51" s="74">
        <f t="shared" si="73"/>
        <v>0</v>
      </c>
      <c r="V51" s="75">
        <f t="shared" si="74"/>
        <v>28</v>
      </c>
      <c r="W51" s="62"/>
      <c r="X51" s="63"/>
      <c r="Y51" s="48"/>
      <c r="Z51" s="48"/>
    </row>
    <row r="52" spans="1:26" s="49" customFormat="1" ht="15" customHeight="1" x14ac:dyDescent="0.25">
      <c r="A52" s="87" t="s">
        <v>161</v>
      </c>
      <c r="B52" s="64" t="s">
        <v>131</v>
      </c>
      <c r="C52" s="241" t="s">
        <v>156</v>
      </c>
      <c r="D52" s="66">
        <v>3</v>
      </c>
      <c r="E52" s="67"/>
      <c r="F52" s="68">
        <v>3</v>
      </c>
      <c r="G52" s="69">
        <f t="shared" ref="G52" si="83">F52*36</f>
        <v>108</v>
      </c>
      <c r="H52" s="70"/>
      <c r="I52" s="71" t="s">
        <v>40</v>
      </c>
      <c r="J52" s="68"/>
      <c r="K52" s="68"/>
      <c r="L52" s="72" t="s">
        <v>40</v>
      </c>
      <c r="M52" s="73">
        <f t="shared" si="82"/>
        <v>56</v>
      </c>
      <c r="N52" s="74">
        <f t="shared" ref="N52" si="84">IF(I52="+",2,0)+IF(I52="д",2,0)+IF(J52="+",2,0)+IF(K52="+",1,0)</f>
        <v>2</v>
      </c>
      <c r="O52" s="75">
        <f t="shared" ref="O52" si="85">IF(H52="+",9,0)</f>
        <v>0</v>
      </c>
      <c r="P52" s="225">
        <f t="shared" ref="P52" si="86">SUM(Q52:S52)</f>
        <v>54</v>
      </c>
      <c r="Q52" s="76">
        <v>20</v>
      </c>
      <c r="R52" s="76">
        <v>34</v>
      </c>
      <c r="S52" s="76"/>
      <c r="T52" s="73">
        <f t="shared" ref="T52" si="87">SUM(U52:V52)</f>
        <v>52</v>
      </c>
      <c r="U52" s="74">
        <f t="shared" ref="U52" si="88">IF(H52="+",27,0)</f>
        <v>0</v>
      </c>
      <c r="V52" s="75">
        <f t="shared" ref="V52" si="89">G52-M52-U52</f>
        <v>52</v>
      </c>
      <c r="W52" s="62"/>
      <c r="X52" s="63"/>
      <c r="Y52" s="48"/>
      <c r="Z52" s="48"/>
    </row>
    <row r="53" spans="1:26" s="49" customFormat="1" ht="15" x14ac:dyDescent="0.25">
      <c r="A53" s="87" t="s">
        <v>162</v>
      </c>
      <c r="B53" s="100" t="s">
        <v>123</v>
      </c>
      <c r="C53" s="241" t="s">
        <v>156</v>
      </c>
      <c r="D53" s="79">
        <v>4</v>
      </c>
      <c r="E53" s="80"/>
      <c r="F53" s="81">
        <v>2</v>
      </c>
      <c r="G53" s="69">
        <f t="shared" si="56"/>
        <v>72</v>
      </c>
      <c r="H53" s="101"/>
      <c r="I53" s="81" t="s">
        <v>40</v>
      </c>
      <c r="J53" s="81"/>
      <c r="K53" s="81"/>
      <c r="L53" s="102" t="s">
        <v>40</v>
      </c>
      <c r="M53" s="73">
        <f t="shared" si="57"/>
        <v>56</v>
      </c>
      <c r="N53" s="74">
        <f t="shared" si="58"/>
        <v>2</v>
      </c>
      <c r="O53" s="75">
        <f t="shared" si="59"/>
        <v>0</v>
      </c>
      <c r="P53" s="104">
        <f t="shared" si="60"/>
        <v>54</v>
      </c>
      <c r="Q53" s="105">
        <v>20</v>
      </c>
      <c r="R53" s="105">
        <v>22</v>
      </c>
      <c r="S53" s="106">
        <v>12</v>
      </c>
      <c r="T53" s="73">
        <f t="shared" ref="T53" si="90">SUM(U53:V53)</f>
        <v>16</v>
      </c>
      <c r="U53" s="74">
        <f t="shared" si="65"/>
        <v>0</v>
      </c>
      <c r="V53" s="75">
        <f t="shared" si="66"/>
        <v>16</v>
      </c>
      <c r="W53" s="62"/>
      <c r="X53" s="63"/>
      <c r="Y53" s="48"/>
      <c r="Z53" s="48"/>
    </row>
    <row r="54" spans="1:26" s="49" customFormat="1" ht="25.5" customHeight="1" x14ac:dyDescent="0.25">
      <c r="A54" s="87" t="s">
        <v>261</v>
      </c>
      <c r="B54" s="64" t="s">
        <v>200</v>
      </c>
      <c r="C54" s="65" t="s">
        <v>107</v>
      </c>
      <c r="D54" s="66">
        <v>3</v>
      </c>
      <c r="E54" s="67"/>
      <c r="F54" s="68">
        <v>4</v>
      </c>
      <c r="G54" s="69">
        <f t="shared" si="56"/>
        <v>144</v>
      </c>
      <c r="H54" s="70" t="s">
        <v>40</v>
      </c>
      <c r="I54" s="71"/>
      <c r="J54" s="68"/>
      <c r="K54" s="68"/>
      <c r="L54" s="72"/>
      <c r="M54" s="73">
        <f t="shared" si="57"/>
        <v>57</v>
      </c>
      <c r="N54" s="74">
        <f t="shared" si="58"/>
        <v>0</v>
      </c>
      <c r="O54" s="75">
        <f t="shared" si="59"/>
        <v>9</v>
      </c>
      <c r="P54" s="225">
        <f t="shared" si="60"/>
        <v>48</v>
      </c>
      <c r="Q54" s="76">
        <v>16</v>
      </c>
      <c r="R54" s="76">
        <v>8</v>
      </c>
      <c r="S54" s="76">
        <v>24</v>
      </c>
      <c r="T54" s="73">
        <f t="shared" si="64"/>
        <v>87</v>
      </c>
      <c r="U54" s="74">
        <f t="shared" si="65"/>
        <v>27</v>
      </c>
      <c r="V54" s="75">
        <f t="shared" si="66"/>
        <v>60</v>
      </c>
      <c r="W54" s="62"/>
      <c r="X54" s="63"/>
      <c r="Y54" s="48"/>
      <c r="Z54" s="48"/>
    </row>
    <row r="55" spans="1:26" s="49" customFormat="1" ht="25.5" customHeight="1" x14ac:dyDescent="0.25">
      <c r="A55" s="87" t="s">
        <v>163</v>
      </c>
      <c r="B55" s="64" t="s">
        <v>117</v>
      </c>
      <c r="C55" s="65" t="s">
        <v>113</v>
      </c>
      <c r="D55" s="66">
        <v>7</v>
      </c>
      <c r="E55" s="67"/>
      <c r="F55" s="68">
        <v>2</v>
      </c>
      <c r="G55" s="69">
        <f t="shared" si="56"/>
        <v>72</v>
      </c>
      <c r="H55" s="70"/>
      <c r="I55" s="71" t="s">
        <v>40</v>
      </c>
      <c r="J55" s="68"/>
      <c r="K55" s="68"/>
      <c r="L55" s="72"/>
      <c r="M55" s="73">
        <f t="shared" si="57"/>
        <v>30</v>
      </c>
      <c r="N55" s="74">
        <f t="shared" si="58"/>
        <v>2</v>
      </c>
      <c r="O55" s="75">
        <f t="shared" si="59"/>
        <v>0</v>
      </c>
      <c r="P55" s="225">
        <f t="shared" si="60"/>
        <v>28</v>
      </c>
      <c r="Q55" s="76">
        <v>12</v>
      </c>
      <c r="R55" s="76"/>
      <c r="S55" s="76">
        <v>16</v>
      </c>
      <c r="T55" s="73">
        <f t="shared" si="64"/>
        <v>42</v>
      </c>
      <c r="U55" s="74">
        <f t="shared" si="65"/>
        <v>0</v>
      </c>
      <c r="V55" s="75">
        <f t="shared" si="66"/>
        <v>42</v>
      </c>
      <c r="W55" s="62"/>
      <c r="X55" s="63"/>
      <c r="Y55" s="48"/>
      <c r="Z55" s="48"/>
    </row>
    <row r="56" spans="1:26" s="49" customFormat="1" ht="25.5" customHeight="1" x14ac:dyDescent="0.25">
      <c r="A56" s="263" t="s">
        <v>164</v>
      </c>
      <c r="B56" s="50" t="s">
        <v>219</v>
      </c>
      <c r="C56" s="51"/>
      <c r="D56" s="52"/>
      <c r="E56" s="53">
        <f>SUM(F57:F58)</f>
        <v>6</v>
      </c>
      <c r="F56" s="54"/>
      <c r="G56" s="226">
        <f>E56*36</f>
        <v>216</v>
      </c>
      <c r="H56" s="55"/>
      <c r="I56" s="56"/>
      <c r="J56" s="54"/>
      <c r="K56" s="54"/>
      <c r="L56" s="57"/>
      <c r="M56" s="58"/>
      <c r="N56" s="59"/>
      <c r="O56" s="60"/>
      <c r="P56" s="227"/>
      <c r="Q56" s="61"/>
      <c r="R56" s="61"/>
      <c r="S56" s="61"/>
      <c r="T56" s="58"/>
      <c r="U56" s="59"/>
      <c r="V56" s="60"/>
      <c r="W56" s="62"/>
      <c r="X56" s="63"/>
      <c r="Y56" s="48"/>
      <c r="Z56" s="48"/>
    </row>
    <row r="57" spans="1:26" s="49" customFormat="1" ht="25.5" x14ac:dyDescent="0.25">
      <c r="A57" s="264"/>
      <c r="B57" s="64" t="s">
        <v>219</v>
      </c>
      <c r="C57" s="65" t="s">
        <v>113</v>
      </c>
      <c r="D57" s="66">
        <v>4</v>
      </c>
      <c r="E57" s="67"/>
      <c r="F57" s="68">
        <v>3</v>
      </c>
      <c r="G57" s="69">
        <f t="shared" ref="G57" si="91">F57*36</f>
        <v>108</v>
      </c>
      <c r="H57" s="70"/>
      <c r="I57" s="71" t="s">
        <v>40</v>
      </c>
      <c r="J57" s="68" t="s">
        <v>40</v>
      </c>
      <c r="K57" s="68"/>
      <c r="L57" s="72"/>
      <c r="M57" s="73">
        <f t="shared" ref="M57" si="92">SUM(N57:P57)</f>
        <v>48</v>
      </c>
      <c r="N57" s="74">
        <f t="shared" ref="N57" si="93">IF(I57="+",2,0)+IF(I57="д",2,0)+IF(J57="+",2,0)+IF(K57="+",1,0)</f>
        <v>4</v>
      </c>
      <c r="O57" s="75">
        <f t="shared" ref="O57" si="94">IF(H57="+",9,0)</f>
        <v>0</v>
      </c>
      <c r="P57" s="225">
        <f t="shared" ref="P57" si="95">SUM(Q57:S57)</f>
        <v>44</v>
      </c>
      <c r="Q57" s="76">
        <v>20</v>
      </c>
      <c r="R57" s="76">
        <v>24</v>
      </c>
      <c r="S57" s="76"/>
      <c r="T57" s="73">
        <f t="shared" ref="T57" si="96">SUM(U57:V57)</f>
        <v>60</v>
      </c>
      <c r="U57" s="74">
        <f t="shared" ref="U57" si="97">IF(H57="+",27,0)</f>
        <v>0</v>
      </c>
      <c r="V57" s="75">
        <f t="shared" ref="V57" si="98">G57-M57-U57</f>
        <v>60</v>
      </c>
      <c r="W57" s="62"/>
      <c r="X57" s="63"/>
      <c r="Y57" s="48"/>
      <c r="Z57" s="48"/>
    </row>
    <row r="58" spans="1:26" s="49" customFormat="1" ht="25.5" customHeight="1" x14ac:dyDescent="0.25">
      <c r="A58" s="265"/>
      <c r="B58" s="235" t="s">
        <v>219</v>
      </c>
      <c r="C58" s="65" t="s">
        <v>113</v>
      </c>
      <c r="D58" s="66">
        <v>5</v>
      </c>
      <c r="E58" s="67"/>
      <c r="F58" s="68">
        <v>3</v>
      </c>
      <c r="G58" s="69">
        <f t="shared" ref="G58" si="99">F58*36</f>
        <v>108</v>
      </c>
      <c r="H58" s="70" t="s">
        <v>40</v>
      </c>
      <c r="I58" s="71"/>
      <c r="J58" s="68"/>
      <c r="K58" s="68"/>
      <c r="L58" s="72"/>
      <c r="M58" s="73">
        <f t="shared" ref="M58" si="100">SUM(N58:P58)</f>
        <v>45</v>
      </c>
      <c r="N58" s="74">
        <f t="shared" ref="N58" si="101">IF(I58="+",2,0)+IF(I58="д",2,0)+IF(J58="+",2,0)+IF(K58="+",1,0)</f>
        <v>0</v>
      </c>
      <c r="O58" s="75">
        <f t="shared" ref="O58" si="102">IF(H58="+",9,0)</f>
        <v>9</v>
      </c>
      <c r="P58" s="225">
        <f t="shared" ref="P58" si="103">SUM(Q58:S58)</f>
        <v>36</v>
      </c>
      <c r="Q58" s="254">
        <v>14</v>
      </c>
      <c r="R58" s="254">
        <v>22</v>
      </c>
      <c r="S58" s="76"/>
      <c r="T58" s="73">
        <f t="shared" ref="T58" si="104">SUM(U58:V58)</f>
        <v>63</v>
      </c>
      <c r="U58" s="74">
        <f t="shared" ref="U58" si="105">IF(H58="+",27,0)</f>
        <v>27</v>
      </c>
      <c r="V58" s="75">
        <f t="shared" ref="V58" si="106">G58-M58-U58</f>
        <v>36</v>
      </c>
      <c r="W58" s="62"/>
      <c r="X58" s="63"/>
      <c r="Y58" s="48"/>
      <c r="Z58" s="48"/>
    </row>
    <row r="59" spans="1:26" s="49" customFormat="1" ht="25.5" x14ac:dyDescent="0.25">
      <c r="A59" s="87" t="s">
        <v>194</v>
      </c>
      <c r="B59" s="64" t="s">
        <v>220</v>
      </c>
      <c r="C59" s="65" t="s">
        <v>113</v>
      </c>
      <c r="D59" s="66">
        <v>4</v>
      </c>
      <c r="E59" s="67"/>
      <c r="F59" s="68">
        <v>2</v>
      </c>
      <c r="G59" s="69">
        <f t="shared" ref="G59:G60" si="107">F59*36</f>
        <v>72</v>
      </c>
      <c r="H59" s="70"/>
      <c r="I59" s="71" t="s">
        <v>40</v>
      </c>
      <c r="J59" s="68"/>
      <c r="K59" s="68"/>
      <c r="L59" s="72"/>
      <c r="M59" s="73">
        <f t="shared" ref="M59" si="108">SUM(N59:P59)</f>
        <v>30</v>
      </c>
      <c r="N59" s="74">
        <f t="shared" ref="N59" si="109">IF(I59="+",2,0)+IF(I59="д",2,0)+IF(J59="+",2,0)+IF(K59="+",1,0)</f>
        <v>2</v>
      </c>
      <c r="O59" s="75">
        <f t="shared" ref="O59" si="110">IF(H59="+",9,0)</f>
        <v>0</v>
      </c>
      <c r="P59" s="225">
        <f t="shared" ref="P59" si="111">SUM(Q59:S59)</f>
        <v>28</v>
      </c>
      <c r="Q59" s="76">
        <v>12</v>
      </c>
      <c r="R59" s="76">
        <v>16</v>
      </c>
      <c r="S59" s="76"/>
      <c r="T59" s="73">
        <f t="shared" ref="T59" si="112">SUM(U59:V59)</f>
        <v>42</v>
      </c>
      <c r="U59" s="74">
        <f t="shared" ref="U59" si="113">IF(H59="+",27,0)</f>
        <v>0</v>
      </c>
      <c r="V59" s="75">
        <f t="shared" ref="V59" si="114">G59-M59-U59</f>
        <v>42</v>
      </c>
      <c r="W59" s="62"/>
      <c r="X59" s="63"/>
      <c r="Y59" s="48"/>
      <c r="Z59" s="48"/>
    </row>
    <row r="60" spans="1:26" s="49" customFormat="1" ht="38.25" x14ac:dyDescent="0.25">
      <c r="A60" s="87" t="s">
        <v>165</v>
      </c>
      <c r="B60" s="64" t="s">
        <v>221</v>
      </c>
      <c r="C60" s="65" t="s">
        <v>116</v>
      </c>
      <c r="D60" s="66">
        <v>4</v>
      </c>
      <c r="E60" s="67"/>
      <c r="F60" s="68">
        <v>3</v>
      </c>
      <c r="G60" s="69">
        <f t="shared" si="107"/>
        <v>108</v>
      </c>
      <c r="H60" s="70" t="s">
        <v>40</v>
      </c>
      <c r="I60" s="71"/>
      <c r="J60" s="68"/>
      <c r="K60" s="68"/>
      <c r="L60" s="72"/>
      <c r="M60" s="73">
        <f t="shared" ref="M60" si="115">SUM(N60:P60)</f>
        <v>53</v>
      </c>
      <c r="N60" s="74">
        <f t="shared" ref="N60" si="116">IF(I60="+",2,0)+IF(I60="д",2,0)+IF(J60="+",2,0)+IF(K60="+",1,0)</f>
        <v>0</v>
      </c>
      <c r="O60" s="75">
        <f t="shared" ref="O60" si="117">IF(H60="+",9,0)</f>
        <v>9</v>
      </c>
      <c r="P60" s="225">
        <f t="shared" ref="P60" si="118">SUM(Q60:S60)</f>
        <v>44</v>
      </c>
      <c r="Q60" s="76">
        <v>20</v>
      </c>
      <c r="R60" s="76">
        <v>24</v>
      </c>
      <c r="S60" s="76"/>
      <c r="T60" s="73">
        <f t="shared" ref="T60" si="119">SUM(U60:V60)</f>
        <v>55</v>
      </c>
      <c r="U60" s="74">
        <f t="shared" ref="U60" si="120">IF(H60="+",27,0)</f>
        <v>27</v>
      </c>
      <c r="V60" s="75">
        <f t="shared" ref="V60" si="121">G60-M60-U60</f>
        <v>28</v>
      </c>
      <c r="W60" s="62"/>
      <c r="X60" s="63"/>
      <c r="Y60" s="48"/>
      <c r="Z60" s="48"/>
    </row>
    <row r="61" spans="1:26" s="49" customFormat="1" ht="25.5" customHeight="1" x14ac:dyDescent="0.25">
      <c r="A61" s="87" t="s">
        <v>166</v>
      </c>
      <c r="B61" s="64" t="s">
        <v>225</v>
      </c>
      <c r="C61" s="65" t="s">
        <v>113</v>
      </c>
      <c r="D61" s="66">
        <v>6</v>
      </c>
      <c r="E61" s="67"/>
      <c r="F61" s="68">
        <v>3</v>
      </c>
      <c r="G61" s="69">
        <f t="shared" si="56"/>
        <v>108</v>
      </c>
      <c r="H61" s="70"/>
      <c r="I61" s="71" t="s">
        <v>41</v>
      </c>
      <c r="J61" s="68"/>
      <c r="K61" s="68"/>
      <c r="L61" s="72"/>
      <c r="M61" s="73">
        <f t="shared" si="57"/>
        <v>44</v>
      </c>
      <c r="N61" s="74">
        <f t="shared" si="58"/>
        <v>2</v>
      </c>
      <c r="O61" s="75">
        <f t="shared" si="59"/>
        <v>0</v>
      </c>
      <c r="P61" s="225">
        <f t="shared" si="60"/>
        <v>42</v>
      </c>
      <c r="Q61" s="76">
        <v>18</v>
      </c>
      <c r="R61" s="76">
        <v>24</v>
      </c>
      <c r="S61" s="76"/>
      <c r="T61" s="73">
        <f t="shared" si="64"/>
        <v>64</v>
      </c>
      <c r="U61" s="74">
        <f t="shared" si="65"/>
        <v>0</v>
      </c>
      <c r="V61" s="75">
        <f t="shared" si="66"/>
        <v>64</v>
      </c>
      <c r="W61" s="62"/>
      <c r="X61" s="63"/>
      <c r="Y61" s="48"/>
      <c r="Z61" s="48"/>
    </row>
    <row r="62" spans="1:26" s="49" customFormat="1" ht="25.5" customHeight="1" x14ac:dyDescent="0.25">
      <c r="A62" s="87" t="s">
        <v>167</v>
      </c>
      <c r="B62" s="235" t="s">
        <v>205</v>
      </c>
      <c r="C62" s="65" t="s">
        <v>113</v>
      </c>
      <c r="D62" s="66">
        <v>5</v>
      </c>
      <c r="E62" s="67"/>
      <c r="F62" s="68">
        <v>4</v>
      </c>
      <c r="G62" s="69">
        <f t="shared" ref="G62:G67" si="122">F62*36</f>
        <v>144</v>
      </c>
      <c r="H62" s="70"/>
      <c r="I62" s="71" t="s">
        <v>40</v>
      </c>
      <c r="J62" s="68"/>
      <c r="K62" s="68" t="s">
        <v>40</v>
      </c>
      <c r="L62" s="72"/>
      <c r="M62" s="73">
        <f t="shared" ref="M62:M67" si="123">SUM(N62:P62)</f>
        <v>65</v>
      </c>
      <c r="N62" s="74">
        <f t="shared" ref="N62:N67" si="124">IF(I62="+",2,0)+IF(I62="д",2,0)+IF(J62="+",2,0)+IF(K62="+",1,0)</f>
        <v>3</v>
      </c>
      <c r="O62" s="75">
        <f t="shared" ref="O62:O67" si="125">IF(H62="+",9,0)</f>
        <v>0</v>
      </c>
      <c r="P62" s="225">
        <f t="shared" ref="P62:P67" si="126">SUM(Q62:S62)</f>
        <v>62</v>
      </c>
      <c r="Q62" s="76">
        <v>22</v>
      </c>
      <c r="R62" s="76">
        <v>8</v>
      </c>
      <c r="S62" s="76">
        <v>32</v>
      </c>
      <c r="T62" s="73">
        <f t="shared" ref="T62:T67" si="127">SUM(U62:V62)</f>
        <v>79</v>
      </c>
      <c r="U62" s="74">
        <f t="shared" ref="U62:U67" si="128">IF(H62="+",27,0)</f>
        <v>0</v>
      </c>
      <c r="V62" s="75">
        <f t="shared" ref="V62:V67" si="129">G62-M62-U62</f>
        <v>79</v>
      </c>
      <c r="W62" s="62"/>
      <c r="X62" s="63"/>
      <c r="Y62" s="48"/>
      <c r="Z62" s="48"/>
    </row>
    <row r="63" spans="1:26" s="49" customFormat="1" ht="25.5" customHeight="1" x14ac:dyDescent="0.25">
      <c r="A63" s="263" t="s">
        <v>168</v>
      </c>
      <c r="B63" s="50" t="s">
        <v>213</v>
      </c>
      <c r="C63" s="51"/>
      <c r="D63" s="52"/>
      <c r="E63" s="53">
        <f>SUM(F64:F65)</f>
        <v>6</v>
      </c>
      <c r="F63" s="54"/>
      <c r="G63" s="226">
        <f>E63*36</f>
        <v>216</v>
      </c>
      <c r="H63" s="55"/>
      <c r="I63" s="56"/>
      <c r="J63" s="54"/>
      <c r="K63" s="54"/>
      <c r="L63" s="57"/>
      <c r="M63" s="58"/>
      <c r="N63" s="59"/>
      <c r="O63" s="60"/>
      <c r="P63" s="227"/>
      <c r="Q63" s="61"/>
      <c r="R63" s="61"/>
      <c r="S63" s="61"/>
      <c r="T63" s="58"/>
      <c r="U63" s="59"/>
      <c r="V63" s="60"/>
      <c r="W63" s="62"/>
      <c r="X63" s="63"/>
      <c r="Y63" s="48"/>
      <c r="Z63" s="48"/>
    </row>
    <row r="64" spans="1:26" s="49" customFormat="1" ht="25.5" x14ac:dyDescent="0.25">
      <c r="A64" s="264"/>
      <c r="B64" s="235" t="s">
        <v>213</v>
      </c>
      <c r="C64" s="107" t="s">
        <v>107</v>
      </c>
      <c r="D64" s="81">
        <v>4</v>
      </c>
      <c r="E64" s="81"/>
      <c r="F64" s="81">
        <v>3</v>
      </c>
      <c r="G64" s="69">
        <f t="shared" si="122"/>
        <v>108</v>
      </c>
      <c r="H64" s="101" t="s">
        <v>40</v>
      </c>
      <c r="I64" s="81"/>
      <c r="J64" s="81"/>
      <c r="K64" s="81"/>
      <c r="L64" s="102" t="s">
        <v>40</v>
      </c>
      <c r="M64" s="73">
        <f t="shared" si="123"/>
        <v>63</v>
      </c>
      <c r="N64" s="74">
        <f t="shared" si="124"/>
        <v>0</v>
      </c>
      <c r="O64" s="75">
        <f t="shared" si="125"/>
        <v>9</v>
      </c>
      <c r="P64" s="115">
        <f t="shared" si="126"/>
        <v>54</v>
      </c>
      <c r="Q64" s="108">
        <v>22</v>
      </c>
      <c r="R64" s="109">
        <v>20</v>
      </c>
      <c r="S64" s="109">
        <v>12</v>
      </c>
      <c r="T64" s="110">
        <f t="shared" ref="T64" si="130">SUM(U64:V64)</f>
        <v>45</v>
      </c>
      <c r="U64" s="111">
        <f t="shared" si="128"/>
        <v>27</v>
      </c>
      <c r="V64" s="69">
        <f t="shared" si="129"/>
        <v>18</v>
      </c>
      <c r="W64" s="62"/>
      <c r="X64" s="63"/>
      <c r="Y64" s="48"/>
      <c r="Z64" s="48"/>
    </row>
    <row r="65" spans="1:26" s="49" customFormat="1" ht="25.5" customHeight="1" x14ac:dyDescent="0.25">
      <c r="A65" s="265"/>
      <c r="B65" s="235" t="s">
        <v>213</v>
      </c>
      <c r="C65" s="65" t="s">
        <v>107</v>
      </c>
      <c r="D65" s="66">
        <v>5</v>
      </c>
      <c r="E65" s="67"/>
      <c r="F65" s="68">
        <v>3</v>
      </c>
      <c r="G65" s="69">
        <f t="shared" si="122"/>
        <v>108</v>
      </c>
      <c r="H65" s="70"/>
      <c r="I65" s="71"/>
      <c r="J65" s="68"/>
      <c r="K65" s="68" t="s">
        <v>40</v>
      </c>
      <c r="L65" s="72"/>
      <c r="M65" s="73">
        <f t="shared" si="123"/>
        <v>37</v>
      </c>
      <c r="N65" s="74">
        <f t="shared" si="124"/>
        <v>1</v>
      </c>
      <c r="O65" s="75">
        <f t="shared" si="125"/>
        <v>0</v>
      </c>
      <c r="P65" s="225">
        <f t="shared" si="126"/>
        <v>36</v>
      </c>
      <c r="Q65" s="254">
        <v>14</v>
      </c>
      <c r="R65" s="254">
        <v>22</v>
      </c>
      <c r="S65" s="76"/>
      <c r="T65" s="73">
        <f t="shared" si="127"/>
        <v>71</v>
      </c>
      <c r="U65" s="74">
        <f t="shared" si="128"/>
        <v>0</v>
      </c>
      <c r="V65" s="75">
        <f t="shared" si="129"/>
        <v>71</v>
      </c>
      <c r="W65" s="62"/>
      <c r="X65" s="63"/>
      <c r="Y65" s="48"/>
      <c r="Z65" s="48"/>
    </row>
    <row r="66" spans="1:26" s="49" customFormat="1" ht="15" customHeight="1" x14ac:dyDescent="0.25">
      <c r="A66" s="87" t="s">
        <v>169</v>
      </c>
      <c r="B66" s="255" t="s">
        <v>206</v>
      </c>
      <c r="C66" s="256" t="s">
        <v>113</v>
      </c>
      <c r="D66" s="79">
        <v>1</v>
      </c>
      <c r="E66" s="80"/>
      <c r="F66" s="81">
        <v>4</v>
      </c>
      <c r="G66" s="69">
        <f t="shared" si="122"/>
        <v>144</v>
      </c>
      <c r="H66" s="101" t="s">
        <v>40</v>
      </c>
      <c r="I66" s="71"/>
      <c r="J66" s="81"/>
      <c r="K66" s="81"/>
      <c r="L66" s="102"/>
      <c r="M66" s="73">
        <f t="shared" ref="M66" si="131">SUM(N66:P66)</f>
        <v>57</v>
      </c>
      <c r="N66" s="74">
        <f t="shared" ref="N66" si="132">IF(I66="+",2,0)+IF(I66="д",2,0)+IF(J66="+",2,0)+IF(K66="+",1,0)</f>
        <v>0</v>
      </c>
      <c r="O66" s="75">
        <f t="shared" ref="O66" si="133">IF(H66="+",9,0)</f>
        <v>9</v>
      </c>
      <c r="P66" s="225">
        <f t="shared" ref="P66" si="134">SUM(Q66:S66)</f>
        <v>48</v>
      </c>
      <c r="Q66" s="105">
        <v>22</v>
      </c>
      <c r="R66" s="105">
        <v>26</v>
      </c>
      <c r="S66" s="253"/>
      <c r="T66" s="73">
        <f t="shared" ref="T66" si="135">SUM(U66:V66)</f>
        <v>87</v>
      </c>
      <c r="U66" s="74">
        <f t="shared" ref="U66" si="136">IF(H66="+",27,0)</f>
        <v>27</v>
      </c>
      <c r="V66" s="75">
        <f t="shared" ref="V66" si="137">G66-M66-U66</f>
        <v>60</v>
      </c>
      <c r="W66" s="62"/>
      <c r="X66" s="63"/>
      <c r="Y66" s="48"/>
      <c r="Z66" s="48"/>
    </row>
    <row r="67" spans="1:26" s="49" customFormat="1" ht="25.5" x14ac:dyDescent="0.25">
      <c r="A67" s="87" t="s">
        <v>170</v>
      </c>
      <c r="B67" s="100" t="s">
        <v>214</v>
      </c>
      <c r="C67" s="78" t="s">
        <v>113</v>
      </c>
      <c r="D67" s="79">
        <v>4</v>
      </c>
      <c r="E67" s="80"/>
      <c r="F67" s="81">
        <v>4</v>
      </c>
      <c r="G67" s="69">
        <f t="shared" si="122"/>
        <v>144</v>
      </c>
      <c r="H67" s="101" t="s">
        <v>40</v>
      </c>
      <c r="I67" s="71"/>
      <c r="J67" s="81" t="s">
        <v>40</v>
      </c>
      <c r="K67" s="81"/>
      <c r="L67" s="102"/>
      <c r="M67" s="73">
        <f t="shared" si="123"/>
        <v>51</v>
      </c>
      <c r="N67" s="74">
        <f t="shared" si="124"/>
        <v>2</v>
      </c>
      <c r="O67" s="75">
        <f t="shared" si="125"/>
        <v>9</v>
      </c>
      <c r="P67" s="104">
        <f t="shared" si="126"/>
        <v>40</v>
      </c>
      <c r="Q67" s="105">
        <v>16</v>
      </c>
      <c r="R67" s="105">
        <v>24</v>
      </c>
      <c r="S67" s="106"/>
      <c r="T67" s="73">
        <f t="shared" si="127"/>
        <v>93</v>
      </c>
      <c r="U67" s="74">
        <f t="shared" si="128"/>
        <v>27</v>
      </c>
      <c r="V67" s="75">
        <f t="shared" si="129"/>
        <v>66</v>
      </c>
      <c r="W67" s="62"/>
      <c r="X67" s="63"/>
      <c r="Y67" s="48"/>
      <c r="Z67" s="48"/>
    </row>
    <row r="68" spans="1:26" s="49" customFormat="1" ht="25.5" customHeight="1" x14ac:dyDescent="0.25">
      <c r="A68" s="87" t="s">
        <v>171</v>
      </c>
      <c r="B68" s="100" t="s">
        <v>207</v>
      </c>
      <c r="C68" s="78" t="s">
        <v>113</v>
      </c>
      <c r="D68" s="79">
        <v>2</v>
      </c>
      <c r="E68" s="80"/>
      <c r="F68" s="81">
        <v>4</v>
      </c>
      <c r="G68" s="69">
        <f t="shared" ref="G68" si="138">F68*36</f>
        <v>144</v>
      </c>
      <c r="H68" s="101" t="s">
        <v>40</v>
      </c>
      <c r="I68" s="81"/>
      <c r="J68" s="81"/>
      <c r="K68" s="81"/>
      <c r="L68" s="102"/>
      <c r="M68" s="73">
        <f t="shared" ref="M68" si="139">SUM(N68:P68)</f>
        <v>51</v>
      </c>
      <c r="N68" s="74">
        <f t="shared" ref="N68" si="140">IF(I68="+",2,0)+IF(I68="д",2,0)+IF(J68="+",2,0)+IF(K68="+",1,0)</f>
        <v>0</v>
      </c>
      <c r="O68" s="75">
        <f t="shared" ref="O68" si="141">IF(H68="+",9,0)</f>
        <v>9</v>
      </c>
      <c r="P68" s="104">
        <f t="shared" ref="P68" si="142">SUM(Q68:S68)</f>
        <v>42</v>
      </c>
      <c r="Q68" s="105">
        <v>20</v>
      </c>
      <c r="R68" s="105">
        <v>10</v>
      </c>
      <c r="S68" s="106">
        <v>12</v>
      </c>
      <c r="T68" s="73">
        <f t="shared" ref="T68" si="143">SUM(U68:V68)</f>
        <v>93</v>
      </c>
      <c r="U68" s="74">
        <f t="shared" ref="U68" si="144">IF(H68="+",27,0)</f>
        <v>27</v>
      </c>
      <c r="V68" s="75">
        <f t="shared" ref="V68" si="145">G68-M68-U68</f>
        <v>66</v>
      </c>
      <c r="W68" s="62"/>
      <c r="X68" s="63"/>
      <c r="Y68" s="48"/>
      <c r="Z68" s="48"/>
    </row>
    <row r="69" spans="1:26" s="49" customFormat="1" ht="15" customHeight="1" x14ac:dyDescent="0.25">
      <c r="A69" s="87" t="s">
        <v>172</v>
      </c>
      <c r="B69" s="64" t="s">
        <v>124</v>
      </c>
      <c r="C69" s="65" t="s">
        <v>116</v>
      </c>
      <c r="D69" s="66">
        <v>5</v>
      </c>
      <c r="E69" s="67"/>
      <c r="F69" s="68">
        <v>4</v>
      </c>
      <c r="G69" s="69">
        <f t="shared" ref="G69" si="146">F69*36</f>
        <v>144</v>
      </c>
      <c r="H69" s="70" t="s">
        <v>40</v>
      </c>
      <c r="I69" s="71"/>
      <c r="J69" s="68"/>
      <c r="K69" s="68"/>
      <c r="L69" s="72"/>
      <c r="M69" s="73">
        <f t="shared" ref="M69" si="147">SUM(N69:P69)</f>
        <v>59</v>
      </c>
      <c r="N69" s="74">
        <f t="shared" ref="N69" si="148">IF(I69="+",2,0)+IF(I69="д",2,0)+IF(J69="+",2,0)+IF(K69="+",1,0)</f>
        <v>0</v>
      </c>
      <c r="O69" s="75">
        <f t="shared" ref="O69" si="149">IF(H69="+",9,0)</f>
        <v>9</v>
      </c>
      <c r="P69" s="225">
        <f t="shared" ref="P69" si="150">SUM(Q69:S69)</f>
        <v>50</v>
      </c>
      <c r="Q69" s="76">
        <v>20</v>
      </c>
      <c r="R69" s="76">
        <v>30</v>
      </c>
      <c r="S69" s="76"/>
      <c r="T69" s="73">
        <f t="shared" ref="T69" si="151">SUM(U69:V69)</f>
        <v>85</v>
      </c>
      <c r="U69" s="74">
        <f t="shared" ref="U69" si="152">IF(H69="+",27,0)</f>
        <v>27</v>
      </c>
      <c r="V69" s="75">
        <f t="shared" ref="V69" si="153">G69-M69-U69</f>
        <v>58</v>
      </c>
      <c r="W69" s="62"/>
      <c r="X69" s="63"/>
      <c r="Y69" s="48"/>
      <c r="Z69" s="48"/>
    </row>
    <row r="70" spans="1:26" s="49" customFormat="1" ht="25.5" x14ac:dyDescent="0.25">
      <c r="A70" s="87" t="s">
        <v>173</v>
      </c>
      <c r="B70" s="235" t="s">
        <v>215</v>
      </c>
      <c r="C70" s="65" t="s">
        <v>113</v>
      </c>
      <c r="D70" s="66">
        <v>4</v>
      </c>
      <c r="E70" s="67"/>
      <c r="F70" s="68">
        <v>3</v>
      </c>
      <c r="G70" s="69">
        <f t="shared" ref="G70:G71" si="154">F70*36</f>
        <v>108</v>
      </c>
      <c r="H70" s="70"/>
      <c r="I70" s="71" t="s">
        <v>41</v>
      </c>
      <c r="J70" s="68"/>
      <c r="K70" s="68" t="s">
        <v>40</v>
      </c>
      <c r="L70" s="72"/>
      <c r="M70" s="73">
        <f t="shared" ref="M70:M71" si="155">SUM(N70:P70)</f>
        <v>43</v>
      </c>
      <c r="N70" s="74">
        <f t="shared" ref="N70:N71" si="156">IF(I70="+",2,0)+IF(I70="д",2,0)+IF(J70="+",2,0)+IF(K70="+",1,0)</f>
        <v>3</v>
      </c>
      <c r="O70" s="75">
        <f t="shared" ref="O70:O71" si="157">IF(H70="+",9,0)</f>
        <v>0</v>
      </c>
      <c r="P70" s="225">
        <f t="shared" ref="P70:P71" si="158">SUM(Q70:S70)</f>
        <v>40</v>
      </c>
      <c r="Q70" s="76">
        <v>16</v>
      </c>
      <c r="R70" s="76">
        <v>24</v>
      </c>
      <c r="S70" s="76"/>
      <c r="T70" s="73">
        <f t="shared" ref="T70:T71" si="159">SUM(U70:V70)</f>
        <v>65</v>
      </c>
      <c r="U70" s="74">
        <f t="shared" ref="U70:U71" si="160">IF(H70="+",27,0)</f>
        <v>0</v>
      </c>
      <c r="V70" s="75">
        <f t="shared" ref="V70:V71" si="161">G70-M70-U70</f>
        <v>65</v>
      </c>
      <c r="W70" s="62"/>
      <c r="X70" s="63"/>
      <c r="Y70" s="48"/>
      <c r="Z70" s="48"/>
    </row>
    <row r="71" spans="1:26" s="49" customFormat="1" ht="15" customHeight="1" x14ac:dyDescent="0.25">
      <c r="A71" s="87" t="s">
        <v>174</v>
      </c>
      <c r="B71" s="235" t="s">
        <v>125</v>
      </c>
      <c r="C71" s="65" t="s">
        <v>116</v>
      </c>
      <c r="D71" s="66">
        <v>6</v>
      </c>
      <c r="E71" s="67"/>
      <c r="F71" s="68">
        <v>3</v>
      </c>
      <c r="G71" s="69">
        <f t="shared" si="154"/>
        <v>108</v>
      </c>
      <c r="H71" s="70"/>
      <c r="I71" s="71" t="s">
        <v>39</v>
      </c>
      <c r="J71" s="68" t="s">
        <v>40</v>
      </c>
      <c r="K71" s="68"/>
      <c r="L71" s="72"/>
      <c r="M71" s="73">
        <f t="shared" si="155"/>
        <v>52</v>
      </c>
      <c r="N71" s="74">
        <f t="shared" si="156"/>
        <v>2</v>
      </c>
      <c r="O71" s="75">
        <f t="shared" si="157"/>
        <v>0</v>
      </c>
      <c r="P71" s="225">
        <f t="shared" si="158"/>
        <v>50</v>
      </c>
      <c r="Q71" s="76">
        <v>20</v>
      </c>
      <c r="R71" s="76">
        <v>30</v>
      </c>
      <c r="S71" s="76"/>
      <c r="T71" s="73">
        <f t="shared" si="159"/>
        <v>56</v>
      </c>
      <c r="U71" s="74">
        <f t="shared" si="160"/>
        <v>0</v>
      </c>
      <c r="V71" s="75">
        <f t="shared" si="161"/>
        <v>56</v>
      </c>
      <c r="W71" s="62"/>
      <c r="X71" s="63"/>
      <c r="Y71" s="48"/>
      <c r="Z71" s="48"/>
    </row>
    <row r="72" spans="1:26" s="49" customFormat="1" ht="25.5" customHeight="1" x14ac:dyDescent="0.25">
      <c r="A72" s="87" t="s">
        <v>176</v>
      </c>
      <c r="B72" s="235" t="s">
        <v>228</v>
      </c>
      <c r="C72" s="65" t="s">
        <v>113</v>
      </c>
      <c r="D72" s="66">
        <v>6</v>
      </c>
      <c r="E72" s="67"/>
      <c r="F72" s="68">
        <v>3</v>
      </c>
      <c r="G72" s="69">
        <f t="shared" ref="G72:G73" si="162">F72*36</f>
        <v>108</v>
      </c>
      <c r="H72" s="70" t="s">
        <v>40</v>
      </c>
      <c r="I72" s="71"/>
      <c r="J72" s="68"/>
      <c r="K72" s="68"/>
      <c r="L72" s="72"/>
      <c r="M72" s="73">
        <f t="shared" ref="M72:M73" si="163">SUM(N72:P72)</f>
        <v>57</v>
      </c>
      <c r="N72" s="74">
        <f t="shared" ref="N72:N73" si="164">IF(I72="+",2,0)+IF(I72="д",2,0)+IF(J72="+",2,0)+IF(K72="+",1,0)</f>
        <v>0</v>
      </c>
      <c r="O72" s="75">
        <f t="shared" ref="O72:O73" si="165">IF(H72="+",9,0)</f>
        <v>9</v>
      </c>
      <c r="P72" s="225">
        <f t="shared" ref="P72:P73" si="166">SUM(Q72:S72)</f>
        <v>48</v>
      </c>
      <c r="Q72" s="76">
        <v>24</v>
      </c>
      <c r="R72" s="76">
        <v>24</v>
      </c>
      <c r="S72" s="76"/>
      <c r="T72" s="73">
        <f t="shared" ref="T72:T73" si="167">SUM(U72:V72)</f>
        <v>51</v>
      </c>
      <c r="U72" s="74">
        <f t="shared" ref="U72:U73" si="168">IF(H72="+",27,0)</f>
        <v>27</v>
      </c>
      <c r="V72" s="75">
        <f t="shared" ref="V72:V73" si="169">G72-M72-U72</f>
        <v>24</v>
      </c>
      <c r="W72" s="62"/>
      <c r="X72" s="63"/>
      <c r="Y72" s="48"/>
      <c r="Z72" s="48"/>
    </row>
    <row r="73" spans="1:26" s="49" customFormat="1" ht="38.25" customHeight="1" x14ac:dyDescent="0.25">
      <c r="A73" s="87" t="s">
        <v>175</v>
      </c>
      <c r="B73" s="235" t="s">
        <v>232</v>
      </c>
      <c r="C73" s="65" t="s">
        <v>113</v>
      </c>
      <c r="D73" s="66">
        <v>7</v>
      </c>
      <c r="E73" s="67"/>
      <c r="F73" s="68">
        <v>4</v>
      </c>
      <c r="G73" s="69">
        <f t="shared" si="162"/>
        <v>144</v>
      </c>
      <c r="H73" s="70" t="s">
        <v>40</v>
      </c>
      <c r="I73" s="71"/>
      <c r="J73" s="68"/>
      <c r="K73" s="68"/>
      <c r="L73" s="72"/>
      <c r="M73" s="73">
        <f t="shared" si="163"/>
        <v>41</v>
      </c>
      <c r="N73" s="74">
        <f t="shared" si="164"/>
        <v>0</v>
      </c>
      <c r="O73" s="75">
        <f t="shared" si="165"/>
        <v>9</v>
      </c>
      <c r="P73" s="225">
        <f t="shared" si="166"/>
        <v>32</v>
      </c>
      <c r="Q73" s="76">
        <v>8</v>
      </c>
      <c r="R73" s="76"/>
      <c r="S73" s="76">
        <v>24</v>
      </c>
      <c r="T73" s="73">
        <f t="shared" si="167"/>
        <v>103</v>
      </c>
      <c r="U73" s="74">
        <f t="shared" si="168"/>
        <v>27</v>
      </c>
      <c r="V73" s="75">
        <f t="shared" si="169"/>
        <v>76</v>
      </c>
      <c r="W73" s="62"/>
      <c r="X73" s="63"/>
      <c r="Y73" s="48"/>
      <c r="Z73" s="48"/>
    </row>
    <row r="74" spans="1:26" s="49" customFormat="1" ht="25.5" customHeight="1" x14ac:dyDescent="0.25">
      <c r="A74" s="87" t="s">
        <v>177</v>
      </c>
      <c r="B74" s="235" t="s">
        <v>222</v>
      </c>
      <c r="C74" s="65" t="s">
        <v>113</v>
      </c>
      <c r="D74" s="66">
        <v>5</v>
      </c>
      <c r="E74" s="67"/>
      <c r="F74" s="68">
        <v>2</v>
      </c>
      <c r="G74" s="69">
        <f t="shared" ref="G74:G76" si="170">F74*36</f>
        <v>72</v>
      </c>
      <c r="H74" s="70"/>
      <c r="I74" s="71" t="s">
        <v>40</v>
      </c>
      <c r="J74" s="68"/>
      <c r="K74" s="68"/>
      <c r="L74" s="72"/>
      <c r="M74" s="73">
        <f t="shared" ref="M74:M76" si="171">SUM(N74:P74)</f>
        <v>30</v>
      </c>
      <c r="N74" s="74">
        <f t="shared" ref="N74:N76" si="172">IF(I74="+",2,0)+IF(I74="д",2,0)+IF(J74="+",2,0)+IF(K74="+",1,0)</f>
        <v>2</v>
      </c>
      <c r="O74" s="75">
        <f t="shared" ref="O74:O76" si="173">IF(H74="+",9,0)</f>
        <v>0</v>
      </c>
      <c r="P74" s="225">
        <f t="shared" ref="P74:P76" si="174">SUM(Q74:S74)</f>
        <v>28</v>
      </c>
      <c r="Q74" s="76">
        <v>8</v>
      </c>
      <c r="R74" s="76"/>
      <c r="S74" s="76">
        <v>20</v>
      </c>
      <c r="T74" s="73">
        <f t="shared" ref="T74:T76" si="175">SUM(U74:V74)</f>
        <v>42</v>
      </c>
      <c r="U74" s="74">
        <f t="shared" ref="U74:U76" si="176">IF(H74="+",27,0)</f>
        <v>0</v>
      </c>
      <c r="V74" s="75">
        <f t="shared" ref="V74:V76" si="177">G74-M74-U74</f>
        <v>42</v>
      </c>
      <c r="W74" s="62"/>
      <c r="X74" s="63"/>
      <c r="Y74" s="48"/>
      <c r="Z74" s="48"/>
    </row>
    <row r="75" spans="1:26" s="49" customFormat="1" ht="38.25" customHeight="1" x14ac:dyDescent="0.25">
      <c r="A75" s="87" t="s">
        <v>178</v>
      </c>
      <c r="B75" s="235" t="s">
        <v>229</v>
      </c>
      <c r="C75" s="65" t="s">
        <v>113</v>
      </c>
      <c r="D75" s="66">
        <v>6</v>
      </c>
      <c r="E75" s="67"/>
      <c r="F75" s="68">
        <v>3</v>
      </c>
      <c r="G75" s="69">
        <f t="shared" si="170"/>
        <v>108</v>
      </c>
      <c r="H75" s="70" t="s">
        <v>40</v>
      </c>
      <c r="I75" s="71"/>
      <c r="J75" s="68"/>
      <c r="K75" s="68"/>
      <c r="L75" s="72"/>
      <c r="M75" s="73">
        <f t="shared" si="171"/>
        <v>53</v>
      </c>
      <c r="N75" s="74">
        <f t="shared" si="172"/>
        <v>0</v>
      </c>
      <c r="O75" s="75">
        <f t="shared" si="173"/>
        <v>9</v>
      </c>
      <c r="P75" s="225">
        <f t="shared" si="174"/>
        <v>44</v>
      </c>
      <c r="Q75" s="76">
        <v>20</v>
      </c>
      <c r="R75" s="76">
        <v>24</v>
      </c>
      <c r="S75" s="76"/>
      <c r="T75" s="73">
        <f t="shared" si="175"/>
        <v>55</v>
      </c>
      <c r="U75" s="74">
        <f t="shared" si="176"/>
        <v>27</v>
      </c>
      <c r="V75" s="75">
        <f t="shared" si="177"/>
        <v>28</v>
      </c>
      <c r="W75" s="62"/>
      <c r="X75" s="63"/>
      <c r="Y75" s="48"/>
      <c r="Z75" s="48"/>
    </row>
    <row r="76" spans="1:26" s="49" customFormat="1" ht="29.25" customHeight="1" x14ac:dyDescent="0.25">
      <c r="A76" s="87" t="s">
        <v>179</v>
      </c>
      <c r="B76" s="257" t="s">
        <v>233</v>
      </c>
      <c r="C76" s="78" t="s">
        <v>116</v>
      </c>
      <c r="D76" s="79">
        <v>7</v>
      </c>
      <c r="E76" s="80"/>
      <c r="F76" s="81">
        <v>4</v>
      </c>
      <c r="G76" s="69">
        <f t="shared" si="170"/>
        <v>144</v>
      </c>
      <c r="H76" s="82"/>
      <c r="I76" s="71" t="s">
        <v>40</v>
      </c>
      <c r="J76" s="83" t="s">
        <v>40</v>
      </c>
      <c r="K76" s="83"/>
      <c r="L76" s="84"/>
      <c r="M76" s="73">
        <f t="shared" si="171"/>
        <v>50</v>
      </c>
      <c r="N76" s="74">
        <f t="shared" si="172"/>
        <v>4</v>
      </c>
      <c r="O76" s="75">
        <f t="shared" si="173"/>
        <v>0</v>
      </c>
      <c r="P76" s="225">
        <f t="shared" si="174"/>
        <v>46</v>
      </c>
      <c r="Q76" s="76">
        <v>20</v>
      </c>
      <c r="R76" s="76">
        <v>26</v>
      </c>
      <c r="S76" s="76"/>
      <c r="T76" s="73">
        <f t="shared" si="175"/>
        <v>94</v>
      </c>
      <c r="U76" s="74">
        <f t="shared" si="176"/>
        <v>0</v>
      </c>
      <c r="V76" s="75">
        <f t="shared" si="177"/>
        <v>94</v>
      </c>
      <c r="W76" s="62"/>
      <c r="X76" s="63"/>
      <c r="Y76" s="48"/>
      <c r="Z76" s="48"/>
    </row>
    <row r="77" spans="1:26" s="49" customFormat="1" ht="25.5" customHeight="1" x14ac:dyDescent="0.25">
      <c r="A77" s="87" t="s">
        <v>180</v>
      </c>
      <c r="B77" s="235" t="s">
        <v>234</v>
      </c>
      <c r="C77" s="65" t="s">
        <v>107</v>
      </c>
      <c r="D77" s="66">
        <v>7</v>
      </c>
      <c r="E77" s="67"/>
      <c r="F77" s="68">
        <v>2</v>
      </c>
      <c r="G77" s="69">
        <f t="shared" ref="G77:G80" si="178">F77*36</f>
        <v>72</v>
      </c>
      <c r="H77" s="70"/>
      <c r="I77" s="71" t="s">
        <v>40</v>
      </c>
      <c r="J77" s="68"/>
      <c r="K77" s="68"/>
      <c r="L77" s="72"/>
      <c r="M77" s="73">
        <f t="shared" ref="M77:M78" si="179">SUM(N77:P77)</f>
        <v>32</v>
      </c>
      <c r="N77" s="74">
        <f t="shared" ref="N77:N80" si="180">IF(I77="+",2,0)+IF(I77="д",2,0)+IF(J77="+",2,0)+IF(K77="+",1,0)</f>
        <v>2</v>
      </c>
      <c r="O77" s="75">
        <f t="shared" ref="O77:O80" si="181">IF(H77="+",9,0)</f>
        <v>0</v>
      </c>
      <c r="P77" s="225">
        <f t="shared" ref="P77:P80" si="182">SUM(Q77:S77)</f>
        <v>30</v>
      </c>
      <c r="Q77" s="76">
        <v>14</v>
      </c>
      <c r="R77" s="76">
        <v>16</v>
      </c>
      <c r="S77" s="76"/>
      <c r="T77" s="73">
        <f t="shared" ref="T77:T80" si="183">SUM(U77:V77)</f>
        <v>40</v>
      </c>
      <c r="U77" s="74">
        <f t="shared" ref="U77:U80" si="184">IF(H77="+",27,0)</f>
        <v>0</v>
      </c>
      <c r="V77" s="75">
        <f t="shared" ref="V77:V80" si="185">G77-M77-U77</f>
        <v>40</v>
      </c>
      <c r="W77" s="62"/>
      <c r="X77" s="63"/>
      <c r="Y77" s="48"/>
      <c r="Z77" s="48"/>
    </row>
    <row r="78" spans="1:26" s="49" customFormat="1" ht="38.25" customHeight="1" x14ac:dyDescent="0.25">
      <c r="A78" s="87" t="s">
        <v>181</v>
      </c>
      <c r="B78" s="235" t="s">
        <v>242</v>
      </c>
      <c r="C78" s="65" t="s">
        <v>107</v>
      </c>
      <c r="D78" s="66">
        <v>8</v>
      </c>
      <c r="E78" s="67"/>
      <c r="F78" s="68">
        <v>2</v>
      </c>
      <c r="G78" s="69">
        <f t="shared" si="178"/>
        <v>72</v>
      </c>
      <c r="H78" s="70"/>
      <c r="I78" s="71" t="s">
        <v>40</v>
      </c>
      <c r="J78" s="68"/>
      <c r="K78" s="68"/>
      <c r="L78" s="72"/>
      <c r="M78" s="73">
        <f t="shared" si="179"/>
        <v>30</v>
      </c>
      <c r="N78" s="74">
        <f t="shared" si="180"/>
        <v>2</v>
      </c>
      <c r="O78" s="75">
        <f t="shared" si="181"/>
        <v>0</v>
      </c>
      <c r="P78" s="225">
        <f t="shared" si="182"/>
        <v>28</v>
      </c>
      <c r="Q78" s="76">
        <v>12</v>
      </c>
      <c r="R78" s="76">
        <v>16</v>
      </c>
      <c r="S78" s="76"/>
      <c r="T78" s="73">
        <f t="shared" si="183"/>
        <v>42</v>
      </c>
      <c r="U78" s="74">
        <f t="shared" si="184"/>
        <v>0</v>
      </c>
      <c r="V78" s="75">
        <f t="shared" si="185"/>
        <v>42</v>
      </c>
      <c r="W78" s="62"/>
      <c r="X78" s="63"/>
      <c r="Y78" s="48"/>
      <c r="Z78" s="48"/>
    </row>
    <row r="79" spans="1:26" s="49" customFormat="1" ht="15" customHeight="1" x14ac:dyDescent="0.25">
      <c r="A79" s="87" t="s">
        <v>183</v>
      </c>
      <c r="B79" s="100" t="s">
        <v>204</v>
      </c>
      <c r="C79" s="78" t="s">
        <v>113</v>
      </c>
      <c r="D79" s="79">
        <v>3</v>
      </c>
      <c r="E79" s="80"/>
      <c r="F79" s="81">
        <v>3</v>
      </c>
      <c r="G79" s="69">
        <f t="shared" si="178"/>
        <v>108</v>
      </c>
      <c r="H79" s="101"/>
      <c r="I79" s="81" t="s">
        <v>40</v>
      </c>
      <c r="J79" s="81"/>
      <c r="K79" s="81"/>
      <c r="L79" s="102" t="s">
        <v>40</v>
      </c>
      <c r="M79" s="73">
        <f t="shared" ref="M79" si="186">SUM(N79:P79)</f>
        <v>42</v>
      </c>
      <c r="N79" s="74">
        <f t="shared" si="180"/>
        <v>2</v>
      </c>
      <c r="O79" s="75">
        <f t="shared" si="181"/>
        <v>0</v>
      </c>
      <c r="P79" s="104">
        <f t="shared" si="182"/>
        <v>40</v>
      </c>
      <c r="Q79" s="105">
        <v>16</v>
      </c>
      <c r="R79" s="105"/>
      <c r="S79" s="106">
        <v>24</v>
      </c>
      <c r="T79" s="73">
        <f t="shared" si="183"/>
        <v>66</v>
      </c>
      <c r="U79" s="74">
        <f t="shared" si="184"/>
        <v>0</v>
      </c>
      <c r="V79" s="75">
        <f t="shared" si="185"/>
        <v>66</v>
      </c>
      <c r="W79" s="62"/>
      <c r="X79" s="63"/>
      <c r="Y79" s="48"/>
      <c r="Z79" s="48"/>
    </row>
    <row r="80" spans="1:26" s="49" customFormat="1" ht="15" customHeight="1" x14ac:dyDescent="0.25">
      <c r="A80" s="87" t="s">
        <v>184</v>
      </c>
      <c r="B80" s="64" t="s">
        <v>223</v>
      </c>
      <c r="C80" s="65" t="s">
        <v>113</v>
      </c>
      <c r="D80" s="66">
        <v>5</v>
      </c>
      <c r="E80" s="67"/>
      <c r="F80" s="68">
        <v>2</v>
      </c>
      <c r="G80" s="69">
        <f t="shared" si="178"/>
        <v>72</v>
      </c>
      <c r="H80" s="70"/>
      <c r="I80" s="71" t="s">
        <v>40</v>
      </c>
      <c r="J80" s="68"/>
      <c r="K80" s="68"/>
      <c r="L80" s="72"/>
      <c r="M80" s="73">
        <f t="shared" ref="M80" si="187">SUM(N80:P80)</f>
        <v>48</v>
      </c>
      <c r="N80" s="74">
        <f t="shared" si="180"/>
        <v>2</v>
      </c>
      <c r="O80" s="75">
        <f t="shared" si="181"/>
        <v>0</v>
      </c>
      <c r="P80" s="225">
        <f t="shared" si="182"/>
        <v>46</v>
      </c>
      <c r="Q80" s="76">
        <v>18</v>
      </c>
      <c r="R80" s="76"/>
      <c r="S80" s="76">
        <v>28</v>
      </c>
      <c r="T80" s="73">
        <f t="shared" si="183"/>
        <v>24</v>
      </c>
      <c r="U80" s="74">
        <f t="shared" si="184"/>
        <v>0</v>
      </c>
      <c r="V80" s="75">
        <f t="shared" si="185"/>
        <v>24</v>
      </c>
      <c r="W80" s="62"/>
      <c r="X80" s="63"/>
      <c r="Y80" s="48"/>
      <c r="Z80" s="48"/>
    </row>
    <row r="81" spans="1:26" s="49" customFormat="1" ht="38.25" customHeight="1" x14ac:dyDescent="0.25">
      <c r="A81" s="87" t="s">
        <v>243</v>
      </c>
      <c r="B81" s="235" t="s">
        <v>235</v>
      </c>
      <c r="C81" s="65" t="s">
        <v>107</v>
      </c>
      <c r="D81" s="66">
        <v>8</v>
      </c>
      <c r="E81" s="67"/>
      <c r="F81" s="68">
        <v>2</v>
      </c>
      <c r="G81" s="69">
        <f t="shared" ref="G81:G83" si="188">F81*36</f>
        <v>72</v>
      </c>
      <c r="H81" s="70"/>
      <c r="I81" s="71" t="s">
        <v>40</v>
      </c>
      <c r="J81" s="68"/>
      <c r="K81" s="68"/>
      <c r="L81" s="72"/>
      <c r="M81" s="73">
        <f t="shared" ref="M81:M82" si="189">SUM(N81:P81)</f>
        <v>36</v>
      </c>
      <c r="N81" s="74">
        <f t="shared" ref="N81:N83" si="190">IF(I81="+",2,0)+IF(I81="д",2,0)+IF(J81="+",2,0)+IF(K81="+",1,0)</f>
        <v>2</v>
      </c>
      <c r="O81" s="75">
        <f t="shared" ref="O81:O83" si="191">IF(H81="+",9,0)</f>
        <v>0</v>
      </c>
      <c r="P81" s="225">
        <f t="shared" ref="P81:P83" si="192">SUM(Q81:S81)</f>
        <v>34</v>
      </c>
      <c r="Q81" s="76">
        <v>16</v>
      </c>
      <c r="R81" s="76">
        <v>18</v>
      </c>
      <c r="S81" s="76"/>
      <c r="T81" s="73">
        <f t="shared" ref="T81:T82" si="193">SUM(U81:V81)</f>
        <v>36</v>
      </c>
      <c r="U81" s="74">
        <f t="shared" ref="U81:U83" si="194">IF(H81="+",27,0)</f>
        <v>0</v>
      </c>
      <c r="V81" s="75">
        <f t="shared" ref="V81:V83" si="195">G81-M81-U81</f>
        <v>36</v>
      </c>
      <c r="W81" s="62"/>
      <c r="X81" s="63"/>
      <c r="Y81" s="48"/>
      <c r="Z81" s="48"/>
    </row>
    <row r="82" spans="1:26" s="49" customFormat="1" ht="15" customHeight="1" x14ac:dyDescent="0.25">
      <c r="A82" s="87" t="s">
        <v>244</v>
      </c>
      <c r="B82" s="235" t="s">
        <v>236</v>
      </c>
      <c r="C82" s="65" t="s">
        <v>113</v>
      </c>
      <c r="D82" s="66">
        <v>8</v>
      </c>
      <c r="E82" s="67"/>
      <c r="F82" s="68">
        <v>2</v>
      </c>
      <c r="G82" s="69">
        <f t="shared" si="188"/>
        <v>72</v>
      </c>
      <c r="H82" s="70"/>
      <c r="I82" s="71" t="s">
        <v>40</v>
      </c>
      <c r="J82" s="68"/>
      <c r="K82" s="68"/>
      <c r="L82" s="72"/>
      <c r="M82" s="73">
        <f t="shared" si="189"/>
        <v>32</v>
      </c>
      <c r="N82" s="74">
        <f t="shared" si="190"/>
        <v>2</v>
      </c>
      <c r="O82" s="75">
        <f t="shared" si="191"/>
        <v>0</v>
      </c>
      <c r="P82" s="225">
        <f t="shared" si="192"/>
        <v>30</v>
      </c>
      <c r="Q82" s="76">
        <v>14</v>
      </c>
      <c r="R82" s="76">
        <v>16</v>
      </c>
      <c r="S82" s="76"/>
      <c r="T82" s="73">
        <f t="shared" si="193"/>
        <v>40</v>
      </c>
      <c r="U82" s="74">
        <f t="shared" si="194"/>
        <v>0</v>
      </c>
      <c r="V82" s="75">
        <f t="shared" si="195"/>
        <v>40</v>
      </c>
      <c r="W82" s="62"/>
      <c r="X82" s="63"/>
      <c r="Y82" s="48"/>
      <c r="Z82" s="48"/>
    </row>
    <row r="83" spans="1:26" s="49" customFormat="1" ht="15" x14ac:dyDescent="0.25">
      <c r="A83" s="87" t="s">
        <v>245</v>
      </c>
      <c r="B83" s="242" t="s">
        <v>128</v>
      </c>
      <c r="C83" s="65" t="s">
        <v>107</v>
      </c>
      <c r="D83" s="68">
        <v>4</v>
      </c>
      <c r="E83" s="68"/>
      <c r="F83" s="81">
        <v>2</v>
      </c>
      <c r="G83" s="69">
        <f t="shared" si="188"/>
        <v>72</v>
      </c>
      <c r="H83" s="101"/>
      <c r="I83" s="81" t="s">
        <v>40</v>
      </c>
      <c r="J83" s="81"/>
      <c r="K83" s="81"/>
      <c r="L83" s="102"/>
      <c r="M83" s="73">
        <f>SUM(N83:P83)</f>
        <v>32</v>
      </c>
      <c r="N83" s="74">
        <f t="shared" si="190"/>
        <v>2</v>
      </c>
      <c r="O83" s="75">
        <f t="shared" si="191"/>
        <v>0</v>
      </c>
      <c r="P83" s="229">
        <f t="shared" si="192"/>
        <v>30</v>
      </c>
      <c r="Q83" s="109">
        <v>14</v>
      </c>
      <c r="R83" s="109">
        <v>16</v>
      </c>
      <c r="S83" s="109"/>
      <c r="T83" s="73">
        <f t="shared" ref="T83" si="196">SUM(U83:V83)</f>
        <v>40</v>
      </c>
      <c r="U83" s="74">
        <f t="shared" si="194"/>
        <v>0</v>
      </c>
      <c r="V83" s="75">
        <f t="shared" si="195"/>
        <v>40</v>
      </c>
      <c r="W83" s="62"/>
      <c r="X83" s="63"/>
      <c r="Y83" s="48"/>
      <c r="Z83" s="48"/>
    </row>
    <row r="84" spans="1:26" s="49" customFormat="1" ht="15" customHeight="1" x14ac:dyDescent="0.25">
      <c r="A84" s="87" t="s">
        <v>246</v>
      </c>
      <c r="B84" s="235" t="s">
        <v>237</v>
      </c>
      <c r="C84" s="65" t="s">
        <v>113</v>
      </c>
      <c r="D84" s="66">
        <v>8</v>
      </c>
      <c r="E84" s="67"/>
      <c r="F84" s="68">
        <v>3</v>
      </c>
      <c r="G84" s="69">
        <f t="shared" ref="G84:G85" si="197">F84*36</f>
        <v>108</v>
      </c>
      <c r="H84" s="70"/>
      <c r="I84" s="71" t="s">
        <v>40</v>
      </c>
      <c r="J84" s="68"/>
      <c r="K84" s="68"/>
      <c r="L84" s="72"/>
      <c r="M84" s="73">
        <f t="shared" ref="M84:M85" si="198">SUM(N84:P84)</f>
        <v>32</v>
      </c>
      <c r="N84" s="74">
        <f t="shared" ref="N84:N85" si="199">IF(I84="+",2,0)+IF(I84="д",2,0)+IF(J84="+",2,0)+IF(K84="+",1,0)</f>
        <v>2</v>
      </c>
      <c r="O84" s="75">
        <f t="shared" ref="O84:O85" si="200">IF(H84="+",9,0)</f>
        <v>0</v>
      </c>
      <c r="P84" s="225">
        <f t="shared" ref="P84:P85" si="201">SUM(Q84:S84)</f>
        <v>30</v>
      </c>
      <c r="Q84" s="76">
        <v>14</v>
      </c>
      <c r="R84" s="76">
        <v>16</v>
      </c>
      <c r="S84" s="76"/>
      <c r="T84" s="73">
        <f t="shared" ref="T84:T85" si="202">SUM(U84:V84)</f>
        <v>76</v>
      </c>
      <c r="U84" s="74">
        <f t="shared" ref="U84:U85" si="203">IF(H84="+",27,0)</f>
        <v>0</v>
      </c>
      <c r="V84" s="75">
        <f t="shared" ref="V84:V85" si="204">G84-M84-U84</f>
        <v>76</v>
      </c>
      <c r="W84" s="62"/>
      <c r="X84" s="63"/>
      <c r="Y84" s="48"/>
      <c r="Z84" s="48"/>
    </row>
    <row r="85" spans="1:26" s="49" customFormat="1" ht="38.25" customHeight="1" x14ac:dyDescent="0.25">
      <c r="A85" s="87" t="s">
        <v>247</v>
      </c>
      <c r="B85" s="257" t="s">
        <v>238</v>
      </c>
      <c r="C85" s="65" t="s">
        <v>113</v>
      </c>
      <c r="D85" s="79">
        <v>8</v>
      </c>
      <c r="E85" s="80"/>
      <c r="F85" s="81">
        <v>2</v>
      </c>
      <c r="G85" s="69">
        <f t="shared" si="197"/>
        <v>72</v>
      </c>
      <c r="H85" s="82"/>
      <c r="I85" s="71" t="s">
        <v>40</v>
      </c>
      <c r="J85" s="83"/>
      <c r="K85" s="83"/>
      <c r="L85" s="84"/>
      <c r="M85" s="73">
        <f t="shared" si="198"/>
        <v>32</v>
      </c>
      <c r="N85" s="74">
        <f t="shared" si="199"/>
        <v>2</v>
      </c>
      <c r="O85" s="75">
        <f t="shared" si="200"/>
        <v>0</v>
      </c>
      <c r="P85" s="225">
        <f t="shared" si="201"/>
        <v>30</v>
      </c>
      <c r="Q85" s="76">
        <v>14</v>
      </c>
      <c r="R85" s="76">
        <v>16</v>
      </c>
      <c r="S85" s="76"/>
      <c r="T85" s="73">
        <f t="shared" si="202"/>
        <v>40</v>
      </c>
      <c r="U85" s="74">
        <f t="shared" si="203"/>
        <v>0</v>
      </c>
      <c r="V85" s="75">
        <f t="shared" si="204"/>
        <v>40</v>
      </c>
      <c r="W85" s="62"/>
      <c r="X85" s="63"/>
      <c r="Y85" s="48"/>
      <c r="Z85" s="48"/>
    </row>
    <row r="86" spans="1:26" s="49" customFormat="1" ht="25.5" customHeight="1" x14ac:dyDescent="0.25">
      <c r="A86" s="87" t="s">
        <v>248</v>
      </c>
      <c r="B86" s="235" t="s">
        <v>212</v>
      </c>
      <c r="C86" s="65" t="s">
        <v>113</v>
      </c>
      <c r="D86" s="66">
        <v>3</v>
      </c>
      <c r="E86" s="67"/>
      <c r="F86" s="68">
        <v>2</v>
      </c>
      <c r="G86" s="69">
        <f t="shared" ref="G86:G89" si="205">F86*36</f>
        <v>72</v>
      </c>
      <c r="H86" s="70"/>
      <c r="I86" s="71" t="s">
        <v>41</v>
      </c>
      <c r="J86" s="68"/>
      <c r="K86" s="68"/>
      <c r="L86" s="72"/>
      <c r="M86" s="73">
        <f t="shared" ref="M86:M87" si="206">SUM(N86:P86)</f>
        <v>40</v>
      </c>
      <c r="N86" s="74">
        <f t="shared" ref="N86:N89" si="207">IF(I86="+",2,0)+IF(I86="д",2,0)+IF(J86="+",2,0)+IF(K86="+",1,0)</f>
        <v>2</v>
      </c>
      <c r="O86" s="75">
        <f t="shared" ref="O86:O89" si="208">IF(H86="+",9,0)</f>
        <v>0</v>
      </c>
      <c r="P86" s="225">
        <f t="shared" ref="P86:P89" si="209">SUM(Q86:S86)</f>
        <v>38</v>
      </c>
      <c r="Q86" s="76">
        <v>16</v>
      </c>
      <c r="R86" s="76">
        <v>22</v>
      </c>
      <c r="S86" s="76"/>
      <c r="T86" s="73">
        <f t="shared" ref="T86:T87" si="210">SUM(U86:V86)</f>
        <v>32</v>
      </c>
      <c r="U86" s="74">
        <f t="shared" ref="U86:U89" si="211">IF(H86="+",27,0)</f>
        <v>0</v>
      </c>
      <c r="V86" s="75">
        <f t="shared" ref="V86:V89" si="212">G86-M86-U86</f>
        <v>32</v>
      </c>
      <c r="W86" s="62"/>
      <c r="X86" s="63"/>
      <c r="Y86" s="48"/>
      <c r="Z86" s="48"/>
    </row>
    <row r="87" spans="1:26" s="49" customFormat="1" ht="25.5" x14ac:dyDescent="0.25">
      <c r="A87" s="87" t="s">
        <v>249</v>
      </c>
      <c r="B87" s="235" t="s">
        <v>216</v>
      </c>
      <c r="C87" s="65" t="s">
        <v>113</v>
      </c>
      <c r="D87" s="66">
        <v>4</v>
      </c>
      <c r="E87" s="67"/>
      <c r="F87" s="68">
        <v>1</v>
      </c>
      <c r="G87" s="69">
        <f t="shared" si="205"/>
        <v>36</v>
      </c>
      <c r="H87" s="70"/>
      <c r="I87" s="71" t="s">
        <v>40</v>
      </c>
      <c r="J87" s="68"/>
      <c r="K87" s="68"/>
      <c r="L87" s="72"/>
      <c r="M87" s="73">
        <f t="shared" si="206"/>
        <v>30</v>
      </c>
      <c r="N87" s="74">
        <f t="shared" si="207"/>
        <v>2</v>
      </c>
      <c r="O87" s="75">
        <f t="shared" si="208"/>
        <v>0</v>
      </c>
      <c r="P87" s="225">
        <f t="shared" si="209"/>
        <v>28</v>
      </c>
      <c r="Q87" s="76">
        <v>8</v>
      </c>
      <c r="R87" s="76"/>
      <c r="S87" s="76">
        <v>20</v>
      </c>
      <c r="T87" s="73">
        <f t="shared" si="210"/>
        <v>6</v>
      </c>
      <c r="U87" s="74">
        <f t="shared" si="211"/>
        <v>0</v>
      </c>
      <c r="V87" s="75">
        <f t="shared" si="212"/>
        <v>6</v>
      </c>
      <c r="W87" s="62"/>
      <c r="X87" s="63"/>
      <c r="Y87" s="48"/>
      <c r="Z87" s="48"/>
    </row>
    <row r="88" spans="1:26" s="49" customFormat="1" ht="25.5" customHeight="1" x14ac:dyDescent="0.25">
      <c r="A88" s="87" t="s">
        <v>250</v>
      </c>
      <c r="B88" s="64" t="s">
        <v>127</v>
      </c>
      <c r="C88" s="65" t="s">
        <v>113</v>
      </c>
      <c r="D88" s="66">
        <v>3</v>
      </c>
      <c r="E88" s="67"/>
      <c r="F88" s="68">
        <v>1</v>
      </c>
      <c r="G88" s="69">
        <f t="shared" ref="G88" si="213">F88*36</f>
        <v>36</v>
      </c>
      <c r="H88" s="70"/>
      <c r="I88" s="71" t="s">
        <v>40</v>
      </c>
      <c r="J88" s="68"/>
      <c r="K88" s="68"/>
      <c r="L88" s="72"/>
      <c r="M88" s="73">
        <f t="shared" ref="M88" si="214">SUM(N88:P88)</f>
        <v>22</v>
      </c>
      <c r="N88" s="74">
        <f t="shared" ref="N88" si="215">IF(I88="+",2,0)+IF(I88="д",2,0)+IF(J88="+",2,0)+IF(K88="+",1,0)</f>
        <v>2</v>
      </c>
      <c r="O88" s="75">
        <f t="shared" ref="O88" si="216">IF(H88="+",9,0)</f>
        <v>0</v>
      </c>
      <c r="P88" s="225">
        <f t="shared" ref="P88" si="217">SUM(Q88:S88)</f>
        <v>20</v>
      </c>
      <c r="Q88" s="76"/>
      <c r="R88" s="76"/>
      <c r="S88" s="76">
        <v>20</v>
      </c>
      <c r="T88" s="73">
        <f t="shared" ref="T88:T89" si="218">SUM(U88:V88)</f>
        <v>14</v>
      </c>
      <c r="U88" s="74">
        <f t="shared" ref="U88" si="219">IF(H88="+",27,0)</f>
        <v>0</v>
      </c>
      <c r="V88" s="75">
        <f t="shared" ref="V88" si="220">G88-M88-U88</f>
        <v>14</v>
      </c>
      <c r="W88" s="62"/>
      <c r="X88" s="63"/>
      <c r="Y88" s="48"/>
      <c r="Z88" s="48"/>
    </row>
    <row r="89" spans="1:26" s="49" customFormat="1" ht="25.5" customHeight="1" x14ac:dyDescent="0.25">
      <c r="A89" s="87" t="s">
        <v>251</v>
      </c>
      <c r="B89" s="230" t="s">
        <v>240</v>
      </c>
      <c r="C89" s="78" t="s">
        <v>113</v>
      </c>
      <c r="D89" s="81">
        <v>8</v>
      </c>
      <c r="E89" s="81"/>
      <c r="F89" s="81">
        <v>2</v>
      </c>
      <c r="G89" s="69">
        <f t="shared" si="205"/>
        <v>72</v>
      </c>
      <c r="H89" s="101"/>
      <c r="I89" s="81" t="s">
        <v>40</v>
      </c>
      <c r="J89" s="81"/>
      <c r="K89" s="81"/>
      <c r="L89" s="102"/>
      <c r="M89" s="73">
        <f t="shared" ref="M89" si="221">SUM(N89:P89)</f>
        <v>32</v>
      </c>
      <c r="N89" s="74">
        <f t="shared" si="207"/>
        <v>2</v>
      </c>
      <c r="O89" s="75">
        <f t="shared" si="208"/>
        <v>0</v>
      </c>
      <c r="P89" s="229">
        <f t="shared" si="209"/>
        <v>30</v>
      </c>
      <c r="Q89" s="109">
        <v>14</v>
      </c>
      <c r="R89" s="109">
        <v>16</v>
      </c>
      <c r="S89" s="109"/>
      <c r="T89" s="73">
        <f t="shared" si="218"/>
        <v>40</v>
      </c>
      <c r="U89" s="74">
        <f t="shared" si="211"/>
        <v>0</v>
      </c>
      <c r="V89" s="75">
        <f t="shared" si="212"/>
        <v>40</v>
      </c>
      <c r="W89" s="62"/>
      <c r="X89" s="63"/>
      <c r="Y89" s="48"/>
      <c r="Z89" s="48"/>
    </row>
    <row r="90" spans="1:26" s="49" customFormat="1" ht="15" customHeight="1" x14ac:dyDescent="0.25">
      <c r="A90" s="87" t="s">
        <v>252</v>
      </c>
      <c r="B90" s="64" t="s">
        <v>226</v>
      </c>
      <c r="C90" s="65" t="s">
        <v>113</v>
      </c>
      <c r="D90" s="66">
        <v>6</v>
      </c>
      <c r="E90" s="67"/>
      <c r="F90" s="68">
        <v>3</v>
      </c>
      <c r="G90" s="69">
        <f>F90*36</f>
        <v>108</v>
      </c>
      <c r="H90" s="70"/>
      <c r="I90" s="71" t="s">
        <v>40</v>
      </c>
      <c r="J90" s="68"/>
      <c r="K90" s="68"/>
      <c r="L90" s="72" t="s">
        <v>40</v>
      </c>
      <c r="M90" s="73">
        <f>SUM(N90:P90)</f>
        <v>56</v>
      </c>
      <c r="N90" s="74">
        <f>IF(I90="+",2,0)+IF(I90="д",2,0)+IF(J90="+",2,0)+IF(K90="+",1,0)</f>
        <v>2</v>
      </c>
      <c r="O90" s="75">
        <f>IF(H90="+",9,0)</f>
        <v>0</v>
      </c>
      <c r="P90" s="225">
        <f>SUM(Q90:S90)</f>
        <v>54</v>
      </c>
      <c r="Q90" s="76">
        <v>28</v>
      </c>
      <c r="R90" s="76">
        <v>26</v>
      </c>
      <c r="S90" s="76"/>
      <c r="T90" s="73">
        <f>SUM(U90:V90)</f>
        <v>52</v>
      </c>
      <c r="U90" s="74">
        <f>IF(H90="+",27,0)</f>
        <v>0</v>
      </c>
      <c r="V90" s="75">
        <f>G90-M90-U90</f>
        <v>52</v>
      </c>
      <c r="W90" s="62"/>
      <c r="X90" s="63"/>
      <c r="Y90" s="48"/>
      <c r="Z90" s="48"/>
    </row>
    <row r="91" spans="1:26" s="49" customFormat="1" ht="25.5" customHeight="1" x14ac:dyDescent="0.25">
      <c r="A91" s="87" t="s">
        <v>253</v>
      </c>
      <c r="B91" s="100" t="s">
        <v>227</v>
      </c>
      <c r="C91" s="78" t="s">
        <v>113</v>
      </c>
      <c r="D91" s="79">
        <v>6</v>
      </c>
      <c r="E91" s="80"/>
      <c r="F91" s="81">
        <v>3</v>
      </c>
      <c r="G91" s="69">
        <f>F91*36</f>
        <v>108</v>
      </c>
      <c r="H91" s="101"/>
      <c r="I91" s="81" t="s">
        <v>41</v>
      </c>
      <c r="J91" s="81"/>
      <c r="K91" s="81" t="s">
        <v>40</v>
      </c>
      <c r="L91" s="102"/>
      <c r="M91" s="73">
        <f>SUM(N91:P91)</f>
        <v>47</v>
      </c>
      <c r="N91" s="74">
        <f>IF(I91="+",2,0)+IF(I91="д",2,0)+IF(J91="+",2,0)+IF(K91="+",1,0)</f>
        <v>3</v>
      </c>
      <c r="O91" s="75">
        <f>IF(H91="+",9,0)</f>
        <v>0</v>
      </c>
      <c r="P91" s="104">
        <f>SUM(Q91:S91)</f>
        <v>44</v>
      </c>
      <c r="Q91" s="105">
        <v>20</v>
      </c>
      <c r="R91" s="105"/>
      <c r="S91" s="106">
        <v>24</v>
      </c>
      <c r="T91" s="73">
        <f>SUM(U91:V91)</f>
        <v>61</v>
      </c>
      <c r="U91" s="74">
        <f>IF(H91="+",27,0)</f>
        <v>0</v>
      </c>
      <c r="V91" s="75">
        <f>G91-M91-U91</f>
        <v>61</v>
      </c>
      <c r="W91" s="62"/>
      <c r="X91" s="63"/>
      <c r="Y91" s="48"/>
      <c r="Z91" s="48"/>
    </row>
    <row r="92" spans="1:26" s="49" customFormat="1" ht="25.5" customHeight="1" x14ac:dyDescent="0.25">
      <c r="A92" s="87" t="s">
        <v>254</v>
      </c>
      <c r="B92" s="235" t="s">
        <v>224</v>
      </c>
      <c r="C92" s="65" t="s">
        <v>113</v>
      </c>
      <c r="D92" s="66">
        <v>5</v>
      </c>
      <c r="E92" s="67"/>
      <c r="F92" s="68">
        <v>2</v>
      </c>
      <c r="G92" s="69">
        <f t="shared" ref="G92:G93" si="222">F92*36</f>
        <v>72</v>
      </c>
      <c r="H92" s="70"/>
      <c r="I92" s="71" t="s">
        <v>40</v>
      </c>
      <c r="J92" s="68"/>
      <c r="K92" s="68"/>
      <c r="L92" s="72"/>
      <c r="M92" s="73">
        <f t="shared" ref="M92:M93" si="223">SUM(N92:P92)</f>
        <v>40</v>
      </c>
      <c r="N92" s="74">
        <f t="shared" ref="N92:N93" si="224">IF(I92="+",2,0)+IF(I92="д",2,0)+IF(J92="+",2,0)+IF(K92="+",1,0)</f>
        <v>2</v>
      </c>
      <c r="O92" s="75">
        <f t="shared" ref="O92:O93" si="225">IF(H92="+",9,0)</f>
        <v>0</v>
      </c>
      <c r="P92" s="225">
        <f t="shared" ref="P92:P93" si="226">SUM(Q92:S92)</f>
        <v>38</v>
      </c>
      <c r="Q92" s="76">
        <v>18</v>
      </c>
      <c r="R92" s="76">
        <v>20</v>
      </c>
      <c r="S92" s="76"/>
      <c r="T92" s="73">
        <f t="shared" ref="T92:T93" si="227">SUM(U92:V92)</f>
        <v>32</v>
      </c>
      <c r="U92" s="74">
        <f t="shared" ref="U92:U93" si="228">IF(H92="+",27,0)</f>
        <v>0</v>
      </c>
      <c r="V92" s="75">
        <f t="shared" ref="V92:V93" si="229">G92-M92-U92</f>
        <v>32</v>
      </c>
      <c r="W92" s="62"/>
      <c r="X92" s="63"/>
      <c r="Y92" s="48"/>
      <c r="Z92" s="48"/>
    </row>
    <row r="93" spans="1:26" s="49" customFormat="1" ht="25.5" customHeight="1" x14ac:dyDescent="0.25">
      <c r="A93" s="87" t="s">
        <v>255</v>
      </c>
      <c r="B93" s="257" t="s">
        <v>231</v>
      </c>
      <c r="C93" s="65" t="s">
        <v>113</v>
      </c>
      <c r="D93" s="79">
        <v>7</v>
      </c>
      <c r="E93" s="80"/>
      <c r="F93" s="81">
        <v>2</v>
      </c>
      <c r="G93" s="69">
        <f t="shared" si="222"/>
        <v>72</v>
      </c>
      <c r="H93" s="82"/>
      <c r="I93" s="71" t="s">
        <v>40</v>
      </c>
      <c r="J93" s="83"/>
      <c r="K93" s="83"/>
      <c r="L93" s="84"/>
      <c r="M93" s="73">
        <f t="shared" si="223"/>
        <v>46</v>
      </c>
      <c r="N93" s="74">
        <f t="shared" si="224"/>
        <v>2</v>
      </c>
      <c r="O93" s="75">
        <f t="shared" si="225"/>
        <v>0</v>
      </c>
      <c r="P93" s="225">
        <f t="shared" si="226"/>
        <v>44</v>
      </c>
      <c r="Q93" s="76">
        <v>20</v>
      </c>
      <c r="R93" s="76">
        <v>24</v>
      </c>
      <c r="S93" s="76"/>
      <c r="T93" s="73">
        <f t="shared" si="227"/>
        <v>26</v>
      </c>
      <c r="U93" s="74">
        <f t="shared" si="228"/>
        <v>0</v>
      </c>
      <c r="V93" s="75">
        <f t="shared" si="229"/>
        <v>26</v>
      </c>
      <c r="W93" s="62"/>
      <c r="X93" s="63"/>
      <c r="Y93" s="48"/>
      <c r="Z93" s="48"/>
    </row>
    <row r="94" spans="1:26" s="49" customFormat="1" ht="38.25" customHeight="1" x14ac:dyDescent="0.25">
      <c r="A94" s="87" t="s">
        <v>256</v>
      </c>
      <c r="B94" s="230" t="s">
        <v>230</v>
      </c>
      <c r="C94" s="78" t="s">
        <v>107</v>
      </c>
      <c r="D94" s="81">
        <v>7</v>
      </c>
      <c r="E94" s="81"/>
      <c r="F94" s="81">
        <v>4</v>
      </c>
      <c r="G94" s="69">
        <f t="shared" ref="G94" si="230">F94*36</f>
        <v>144</v>
      </c>
      <c r="H94" s="101"/>
      <c r="I94" s="81" t="s">
        <v>40</v>
      </c>
      <c r="J94" s="81"/>
      <c r="K94" s="81"/>
      <c r="L94" s="102"/>
      <c r="M94" s="73">
        <f t="shared" ref="M94" si="231">SUM(N94:P94)</f>
        <v>50</v>
      </c>
      <c r="N94" s="74">
        <f t="shared" ref="N94" si="232">IF(I94="+",2,0)+IF(I94="д",2,0)+IF(J94="+",2,0)+IF(K94="+",1,0)</f>
        <v>2</v>
      </c>
      <c r="O94" s="75">
        <f t="shared" ref="O94" si="233">IF(H94="+",9,0)</f>
        <v>0</v>
      </c>
      <c r="P94" s="229">
        <f t="shared" ref="P94" si="234">SUM(Q94:S94)</f>
        <v>48</v>
      </c>
      <c r="Q94" s="234">
        <v>20</v>
      </c>
      <c r="R94" s="234">
        <v>28</v>
      </c>
      <c r="S94" s="234"/>
      <c r="T94" s="73">
        <f t="shared" ref="T94" si="235">SUM(U94:V94)</f>
        <v>94</v>
      </c>
      <c r="U94" s="74">
        <f t="shared" ref="U94" si="236">IF(H94="+",27,0)</f>
        <v>0</v>
      </c>
      <c r="V94" s="75">
        <f t="shared" ref="V94" si="237">G94-M94-U94</f>
        <v>94</v>
      </c>
      <c r="W94" s="62"/>
      <c r="X94" s="63"/>
      <c r="Y94" s="48"/>
      <c r="Z94" s="48"/>
    </row>
    <row r="95" spans="1:26" s="49" customFormat="1" ht="15" customHeight="1" x14ac:dyDescent="0.25">
      <c r="A95" s="87" t="s">
        <v>257</v>
      </c>
      <c r="B95" s="64" t="s">
        <v>83</v>
      </c>
      <c r="C95" s="65" t="s">
        <v>47</v>
      </c>
      <c r="D95" s="66">
        <v>6</v>
      </c>
      <c r="E95" s="67"/>
      <c r="F95" s="68">
        <v>2</v>
      </c>
      <c r="G95" s="209">
        <f t="shared" si="2"/>
        <v>72</v>
      </c>
      <c r="H95" s="70"/>
      <c r="I95" s="71" t="s">
        <v>41</v>
      </c>
      <c r="J95" s="68"/>
      <c r="K95" s="68"/>
      <c r="L95" s="72"/>
      <c r="M95" s="198">
        <f t="shared" ref="M95" si="238">SUM(N95:P95)</f>
        <v>2</v>
      </c>
      <c r="N95" s="74">
        <f t="shared" ref="N95" si="239">IF(I95="+",2,0)+IF(I95="д",2,0)+IF(J95="+",2,0)+IF(K95="+",1,0)</f>
        <v>2</v>
      </c>
      <c r="O95" s="208">
        <f t="shared" ref="O95" si="240">IF(H95="+",9,0)</f>
        <v>0</v>
      </c>
      <c r="P95" s="104">
        <f t="shared" ref="P95" si="241">SUM(Q95:S95)</f>
        <v>0</v>
      </c>
      <c r="Q95" s="76"/>
      <c r="R95" s="76"/>
      <c r="S95" s="214"/>
      <c r="T95" s="73">
        <f t="shared" ref="T95" si="242">SUM(U95:V95)</f>
        <v>70</v>
      </c>
      <c r="U95" s="74">
        <f t="shared" si="8"/>
        <v>0</v>
      </c>
      <c r="V95" s="75">
        <f t="shared" si="9"/>
        <v>70</v>
      </c>
      <c r="W95" s="62"/>
      <c r="X95" s="63"/>
      <c r="Y95" s="48">
        <f t="shared" si="10"/>
        <v>0</v>
      </c>
      <c r="Z95" s="48">
        <f t="shared" si="11"/>
        <v>0</v>
      </c>
    </row>
    <row r="96" spans="1:26" ht="63" customHeight="1" x14ac:dyDescent="0.25">
      <c r="A96" s="88" t="s">
        <v>48</v>
      </c>
      <c r="B96" s="251" t="s">
        <v>89</v>
      </c>
      <c r="C96" s="89"/>
      <c r="D96" s="90"/>
      <c r="E96" s="91"/>
      <c r="F96" s="92">
        <f>SUM(F97:F99)</f>
        <v>9</v>
      </c>
      <c r="G96" s="192">
        <f>SUM(G97:G99)</f>
        <v>252</v>
      </c>
      <c r="H96" s="43">
        <f>COUNTIF(H97:H98,"+")+H99</f>
        <v>1</v>
      </c>
      <c r="I96" s="44">
        <f>COUNTIF(I97:I98,"+")+COUNTIF(I97:I98,"д")+I99</f>
        <v>7</v>
      </c>
      <c r="J96" s="44">
        <f>COUNTIF(J97:J98,"+")+J99</f>
        <v>0</v>
      </c>
      <c r="K96" s="44">
        <f>COUNTIF(K97:K98,"+")+K99</f>
        <v>0</v>
      </c>
      <c r="L96" s="42">
        <f>COUNTIF(L97:L98,"+")+L99</f>
        <v>0</v>
      </c>
      <c r="M96" s="193">
        <f t="shared" ref="M96:V96" si="243">SUM(M97:M99)</f>
        <v>109</v>
      </c>
      <c r="N96" s="95">
        <f t="shared" si="243"/>
        <v>4</v>
      </c>
      <c r="O96" s="192">
        <f t="shared" si="243"/>
        <v>9</v>
      </c>
      <c r="P96" s="98">
        <f t="shared" si="243"/>
        <v>96</v>
      </c>
      <c r="Q96" s="192">
        <f t="shared" si="243"/>
        <v>46</v>
      </c>
      <c r="R96" s="192">
        <f t="shared" si="243"/>
        <v>50</v>
      </c>
      <c r="S96" s="93">
        <f t="shared" si="243"/>
        <v>0</v>
      </c>
      <c r="T96" s="98">
        <f t="shared" si="243"/>
        <v>143</v>
      </c>
      <c r="U96" s="192">
        <f t="shared" si="243"/>
        <v>27</v>
      </c>
      <c r="V96" s="93">
        <f t="shared" si="243"/>
        <v>116</v>
      </c>
      <c r="W96" s="99"/>
      <c r="X96" s="8"/>
      <c r="Y96" s="3">
        <f>IF(J96="+",IF(V96&lt;72,"мало часов на КП(КР)",0),0)</f>
        <v>0</v>
      </c>
      <c r="Z96" s="3">
        <f>IF(K96="+",IF(V96&lt;72,"мало часов на КП(КР)",0),0)</f>
        <v>0</v>
      </c>
    </row>
    <row r="97" spans="1:26" ht="15" customHeight="1" x14ac:dyDescent="0.2">
      <c r="A97" s="87" t="s">
        <v>92</v>
      </c>
      <c r="B97" s="100" t="s">
        <v>118</v>
      </c>
      <c r="C97" s="78" t="s">
        <v>119</v>
      </c>
      <c r="D97" s="79">
        <v>7</v>
      </c>
      <c r="E97" s="80"/>
      <c r="F97" s="81">
        <v>2</v>
      </c>
      <c r="G97" s="69">
        <f>F97*36</f>
        <v>72</v>
      </c>
      <c r="H97" s="101"/>
      <c r="I97" s="81" t="s">
        <v>40</v>
      </c>
      <c r="J97" s="81"/>
      <c r="K97" s="81"/>
      <c r="L97" s="102"/>
      <c r="M97" s="73">
        <f>SUM(N97:P97)</f>
        <v>32</v>
      </c>
      <c r="N97" s="74">
        <f>IF(I97="+",2,0)+IF(I97="д",2,0)+IF(J97="+",2,0)+IF(K97="+",1,0)</f>
        <v>2</v>
      </c>
      <c r="O97" s="75">
        <f>IF(H97="+",9,0)</f>
        <v>0</v>
      </c>
      <c r="P97" s="225">
        <f>SUM(Q97:S97)</f>
        <v>30</v>
      </c>
      <c r="Q97" s="103">
        <v>14</v>
      </c>
      <c r="R97" s="103">
        <v>16</v>
      </c>
      <c r="S97" s="103"/>
      <c r="T97" s="73">
        <f>SUM(U97:V97)</f>
        <v>40</v>
      </c>
      <c r="U97" s="74">
        <f>IF(H97="+",27,0)</f>
        <v>0</v>
      </c>
      <c r="V97" s="75">
        <f>G97-M97-U97</f>
        <v>40</v>
      </c>
      <c r="W97" s="62"/>
      <c r="X97" s="8"/>
      <c r="Y97" s="48">
        <f t="shared" ref="Y97" si="244">IF(J97="+",IF(V97&lt;60,"мало часов на КП",0),0)</f>
        <v>0</v>
      </c>
      <c r="Z97" s="48">
        <f t="shared" ref="Z97" si="245">IF(K97="+",IF(V97&lt;40,"мало часов на КР",0),0)</f>
        <v>0</v>
      </c>
    </row>
    <row r="98" spans="1:26" ht="15" customHeight="1" x14ac:dyDescent="0.2">
      <c r="A98" s="87" t="s">
        <v>93</v>
      </c>
      <c r="B98" s="100" t="s">
        <v>121</v>
      </c>
      <c r="C98" s="78" t="s">
        <v>86</v>
      </c>
      <c r="D98" s="79">
        <v>1</v>
      </c>
      <c r="E98" s="80"/>
      <c r="F98" s="81">
        <v>2</v>
      </c>
      <c r="G98" s="69">
        <f>F98*36</f>
        <v>72</v>
      </c>
      <c r="H98" s="101"/>
      <c r="I98" s="81" t="s">
        <v>40</v>
      </c>
      <c r="J98" s="81"/>
      <c r="K98" s="81"/>
      <c r="L98" s="102"/>
      <c r="M98" s="73">
        <f>SUM(N98:P98)</f>
        <v>32</v>
      </c>
      <c r="N98" s="74">
        <f>IF(I98="+",2,0)+IF(I98="д",2,0)+IF(J98="+",2,0)+IF(K98="+",1,0)</f>
        <v>2</v>
      </c>
      <c r="O98" s="75">
        <f>IF(H98="+",9,0)</f>
        <v>0</v>
      </c>
      <c r="P98" s="104">
        <f>SUM(Q98:S98)</f>
        <v>30</v>
      </c>
      <c r="Q98" s="105">
        <v>14</v>
      </c>
      <c r="R98" s="105">
        <v>16</v>
      </c>
      <c r="S98" s="106"/>
      <c r="T98" s="73">
        <f>SUM(U98:V98)</f>
        <v>40</v>
      </c>
      <c r="U98" s="74">
        <f>IF(H98="+",27,0)</f>
        <v>0</v>
      </c>
      <c r="V98" s="75">
        <f>G98-M98-U98</f>
        <v>40</v>
      </c>
      <c r="W98" s="62"/>
      <c r="X98" s="8"/>
      <c r="Y98" s="48"/>
      <c r="Z98" s="48"/>
    </row>
    <row r="99" spans="1:26" ht="15.75" customHeight="1" x14ac:dyDescent="0.25">
      <c r="A99" s="88" t="s">
        <v>90</v>
      </c>
      <c r="B99" s="112" t="s">
        <v>195</v>
      </c>
      <c r="C99" s="113"/>
      <c r="D99" s="95"/>
      <c r="E99" s="97"/>
      <c r="F99" s="97">
        <f>SUM(F100:F107)</f>
        <v>5</v>
      </c>
      <c r="G99" s="192">
        <f>SUM(G106:G107)</f>
        <v>108</v>
      </c>
      <c r="H99" s="43">
        <f>COUNTIF(H106:H113,"+")</f>
        <v>1</v>
      </c>
      <c r="I99" s="44">
        <f>COUNTIF(I106:I113,"+")+COUNTIF(I106:I113,"д")</f>
        <v>5</v>
      </c>
      <c r="J99" s="44">
        <f>COUNTIF(J106:J113,"+")</f>
        <v>0</v>
      </c>
      <c r="K99" s="44">
        <f>COUNTIF(K106:K113,"+")</f>
        <v>0</v>
      </c>
      <c r="L99" s="42">
        <f>COUNTIF(L106:L113,"+")</f>
        <v>0</v>
      </c>
      <c r="M99" s="193">
        <f t="shared" ref="M99:V99" si="246">SUM(M106:M107)</f>
        <v>45</v>
      </c>
      <c r="N99" s="95">
        <f t="shared" si="246"/>
        <v>0</v>
      </c>
      <c r="O99" s="192">
        <f t="shared" si="246"/>
        <v>9</v>
      </c>
      <c r="P99" s="94">
        <f t="shared" si="246"/>
        <v>36</v>
      </c>
      <c r="Q99" s="95">
        <f t="shared" si="246"/>
        <v>18</v>
      </c>
      <c r="R99" s="95">
        <f t="shared" si="246"/>
        <v>18</v>
      </c>
      <c r="S99" s="93">
        <f t="shared" si="246"/>
        <v>0</v>
      </c>
      <c r="T99" s="94">
        <f t="shared" si="246"/>
        <v>63</v>
      </c>
      <c r="U99" s="95">
        <f t="shared" si="246"/>
        <v>27</v>
      </c>
      <c r="V99" s="93">
        <f t="shared" si="246"/>
        <v>36</v>
      </c>
      <c r="W99" s="99"/>
      <c r="X99" s="8"/>
      <c r="Y99" s="48"/>
      <c r="Z99" s="48"/>
    </row>
    <row r="100" spans="1:26" ht="15" customHeight="1" x14ac:dyDescent="0.2">
      <c r="A100" s="263" t="s">
        <v>91</v>
      </c>
      <c r="B100" s="50" t="s">
        <v>258</v>
      </c>
      <c r="C100" s="51"/>
      <c r="D100" s="52"/>
      <c r="E100" s="53">
        <f>SUM(F101:F102)</f>
        <v>2</v>
      </c>
      <c r="F100" s="54"/>
      <c r="G100" s="226">
        <f>E100*36</f>
        <v>72</v>
      </c>
      <c r="H100" s="55"/>
      <c r="I100" s="56"/>
      <c r="J100" s="54"/>
      <c r="K100" s="54"/>
      <c r="L100" s="57"/>
      <c r="M100" s="58"/>
      <c r="N100" s="59"/>
      <c r="O100" s="60"/>
      <c r="P100" s="227"/>
      <c r="Q100" s="61"/>
      <c r="R100" s="61"/>
      <c r="S100" s="61"/>
      <c r="T100" s="58"/>
      <c r="U100" s="59"/>
      <c r="V100" s="60"/>
      <c r="W100" s="32"/>
      <c r="X100" s="8"/>
      <c r="Y100" s="48"/>
      <c r="Z100" s="48"/>
    </row>
    <row r="101" spans="1:26" ht="15" customHeight="1" x14ac:dyDescent="0.2">
      <c r="A101" s="264"/>
      <c r="B101" s="235" t="s">
        <v>258</v>
      </c>
      <c r="C101" s="107" t="s">
        <v>113</v>
      </c>
      <c r="D101" s="81">
        <v>1</v>
      </c>
      <c r="E101" s="81"/>
      <c r="F101" s="81">
        <v>1</v>
      </c>
      <c r="G101" s="69">
        <f t="shared" ref="G101:G102" si="247">F101*36</f>
        <v>36</v>
      </c>
      <c r="H101" s="101"/>
      <c r="I101" s="81"/>
      <c r="J101" s="81"/>
      <c r="K101" s="81"/>
      <c r="L101" s="102"/>
      <c r="M101" s="73">
        <f t="shared" ref="M101:M102" si="248">SUM(N101:P101)</f>
        <v>18</v>
      </c>
      <c r="N101" s="74">
        <f t="shared" ref="N101:N102" si="249">IF(I101="+",2,0)+IF(I101="д",2,0)+IF(J101="+",2,0)+IF(K101="+",1,0)</f>
        <v>0</v>
      </c>
      <c r="O101" s="75">
        <f t="shared" ref="O101:O102" si="250">IF(H101="+",9,0)</f>
        <v>0</v>
      </c>
      <c r="P101" s="115">
        <f t="shared" ref="P101:P102" si="251">SUM(Q101:S101)</f>
        <v>18</v>
      </c>
      <c r="Q101" s="108"/>
      <c r="R101" s="109">
        <v>18</v>
      </c>
      <c r="S101" s="109"/>
      <c r="T101" s="110">
        <f t="shared" ref="T101" si="252">SUM(U101:V101)</f>
        <v>18</v>
      </c>
      <c r="U101" s="111">
        <f t="shared" ref="U101:U102" si="253">IF(H101="+",27,0)</f>
        <v>0</v>
      </c>
      <c r="V101" s="69">
        <f t="shared" ref="V101:V102" si="254">G101-M101-U101</f>
        <v>18</v>
      </c>
      <c r="W101" s="32"/>
      <c r="X101" s="8"/>
      <c r="Y101" s="48"/>
      <c r="Z101" s="48"/>
    </row>
    <row r="102" spans="1:26" ht="15" customHeight="1" x14ac:dyDescent="0.2">
      <c r="A102" s="264"/>
      <c r="B102" s="235" t="s">
        <v>258</v>
      </c>
      <c r="C102" s="78" t="s">
        <v>113</v>
      </c>
      <c r="D102" s="81">
        <v>2</v>
      </c>
      <c r="E102" s="81"/>
      <c r="F102" s="81">
        <v>1</v>
      </c>
      <c r="G102" s="69">
        <f t="shared" si="247"/>
        <v>36</v>
      </c>
      <c r="H102" s="101"/>
      <c r="I102" s="81" t="s">
        <v>40</v>
      </c>
      <c r="J102" s="81"/>
      <c r="K102" s="81"/>
      <c r="L102" s="102"/>
      <c r="M102" s="73">
        <f t="shared" si="248"/>
        <v>20</v>
      </c>
      <c r="N102" s="74">
        <f t="shared" si="249"/>
        <v>2</v>
      </c>
      <c r="O102" s="75">
        <f t="shared" si="250"/>
        <v>0</v>
      </c>
      <c r="P102" s="229">
        <f t="shared" si="251"/>
        <v>18</v>
      </c>
      <c r="Q102" s="258"/>
      <c r="R102" s="258">
        <v>18</v>
      </c>
      <c r="S102" s="259"/>
      <c r="T102" s="73">
        <f t="shared" ref="T102" si="255">SUM(U102:V102)</f>
        <v>16</v>
      </c>
      <c r="U102" s="74">
        <f t="shared" si="253"/>
        <v>0</v>
      </c>
      <c r="V102" s="75">
        <f t="shared" si="254"/>
        <v>16</v>
      </c>
      <c r="W102" s="32"/>
      <c r="X102" s="8"/>
      <c r="Y102" s="48"/>
      <c r="Z102" s="48"/>
    </row>
    <row r="103" spans="1:26" ht="15" customHeight="1" x14ac:dyDescent="0.2">
      <c r="A103" s="264"/>
      <c r="B103" s="50" t="s">
        <v>126</v>
      </c>
      <c r="C103" s="51"/>
      <c r="D103" s="52"/>
      <c r="E103" s="53">
        <f>SUM(F104:F105)</f>
        <v>0</v>
      </c>
      <c r="F103" s="54"/>
      <c r="G103" s="226">
        <f>E103*36</f>
        <v>0</v>
      </c>
      <c r="H103" s="55"/>
      <c r="I103" s="56"/>
      <c r="J103" s="54"/>
      <c r="K103" s="54"/>
      <c r="L103" s="57"/>
      <c r="M103" s="58"/>
      <c r="N103" s="59"/>
      <c r="O103" s="60"/>
      <c r="P103" s="227"/>
      <c r="Q103" s="61"/>
      <c r="R103" s="61"/>
      <c r="S103" s="61"/>
      <c r="T103" s="58"/>
      <c r="U103" s="59"/>
      <c r="V103" s="60"/>
      <c r="W103" s="32"/>
      <c r="X103" s="8"/>
      <c r="Y103" s="48"/>
      <c r="Z103" s="48"/>
    </row>
    <row r="104" spans="1:26" ht="15" customHeight="1" x14ac:dyDescent="0.2">
      <c r="A104" s="264"/>
      <c r="B104" s="235" t="s">
        <v>126</v>
      </c>
      <c r="C104" s="107" t="s">
        <v>113</v>
      </c>
      <c r="D104" s="81">
        <v>1</v>
      </c>
      <c r="E104" s="81"/>
      <c r="F104" s="81"/>
      <c r="G104" s="69"/>
      <c r="H104" s="101"/>
      <c r="I104" s="81"/>
      <c r="J104" s="81"/>
      <c r="K104" s="81"/>
      <c r="L104" s="102"/>
      <c r="M104" s="73"/>
      <c r="N104" s="74"/>
      <c r="O104" s="75"/>
      <c r="P104" s="115"/>
      <c r="Q104" s="260"/>
      <c r="R104" s="261"/>
      <c r="S104" s="109"/>
      <c r="T104" s="110"/>
      <c r="U104" s="111"/>
      <c r="V104" s="69"/>
      <c r="W104" s="32"/>
      <c r="X104" s="8"/>
      <c r="Y104" s="48"/>
      <c r="Z104" s="48"/>
    </row>
    <row r="105" spans="1:26" ht="15" customHeight="1" x14ac:dyDescent="0.2">
      <c r="A105" s="265"/>
      <c r="B105" s="235" t="s">
        <v>126</v>
      </c>
      <c r="C105" s="78" t="s">
        <v>113</v>
      </c>
      <c r="D105" s="81">
        <v>2</v>
      </c>
      <c r="E105" s="81"/>
      <c r="F105" s="81"/>
      <c r="G105" s="69"/>
      <c r="H105" s="101"/>
      <c r="I105" s="81"/>
      <c r="J105" s="81"/>
      <c r="K105" s="81"/>
      <c r="L105" s="102"/>
      <c r="M105" s="73"/>
      <c r="N105" s="74"/>
      <c r="O105" s="75"/>
      <c r="P105" s="229"/>
      <c r="Q105" s="258"/>
      <c r="R105" s="258"/>
      <c r="S105" s="259"/>
      <c r="T105" s="73"/>
      <c r="U105" s="74"/>
      <c r="V105" s="75"/>
      <c r="W105" s="32"/>
      <c r="X105" s="8"/>
      <c r="Y105" s="48"/>
      <c r="Z105" s="48"/>
    </row>
    <row r="106" spans="1:26" ht="38.25" customHeight="1" x14ac:dyDescent="0.2">
      <c r="A106" s="282" t="s">
        <v>94</v>
      </c>
      <c r="B106" s="64" t="s">
        <v>239</v>
      </c>
      <c r="C106" s="107" t="s">
        <v>113</v>
      </c>
      <c r="D106" s="81">
        <v>8</v>
      </c>
      <c r="E106" s="81"/>
      <c r="F106" s="81">
        <v>3</v>
      </c>
      <c r="G106" s="69">
        <f>F106*36</f>
        <v>108</v>
      </c>
      <c r="H106" s="101" t="s">
        <v>40</v>
      </c>
      <c r="I106" s="81"/>
      <c r="J106" s="81"/>
      <c r="K106" s="81"/>
      <c r="L106" s="102"/>
      <c r="M106" s="73">
        <f>SUM(N106:P106)</f>
        <v>45</v>
      </c>
      <c r="N106" s="74">
        <f>IF(I106="+",2,0)+IF(I106="д",2,0)+IF(J106="+",2,0)+IF(K106="+",1,0)</f>
        <v>0</v>
      </c>
      <c r="O106" s="75">
        <f>IF(H106="+",9,0)</f>
        <v>9</v>
      </c>
      <c r="P106" s="115">
        <f>SUM(Q106:S106)</f>
        <v>36</v>
      </c>
      <c r="Q106" s="108">
        <v>18</v>
      </c>
      <c r="R106" s="109">
        <v>18</v>
      </c>
      <c r="S106" s="109"/>
      <c r="T106" s="110">
        <f>SUM(U106:V106)</f>
        <v>63</v>
      </c>
      <c r="U106" s="111">
        <f>IF(H106="+",27,0)</f>
        <v>27</v>
      </c>
      <c r="V106" s="69">
        <f>G106-M106-U106</f>
        <v>36</v>
      </c>
      <c r="W106" s="32"/>
      <c r="X106" s="8"/>
      <c r="Y106" s="48"/>
      <c r="Z106" s="48"/>
    </row>
    <row r="107" spans="1:26" ht="25.5" customHeight="1" x14ac:dyDescent="0.2">
      <c r="A107" s="283"/>
      <c r="B107" s="237" t="s">
        <v>241</v>
      </c>
      <c r="C107" s="65" t="s">
        <v>113</v>
      </c>
      <c r="D107" s="81">
        <v>8</v>
      </c>
      <c r="E107" s="81"/>
      <c r="F107" s="81"/>
      <c r="G107" s="209"/>
      <c r="H107" s="101"/>
      <c r="I107" s="81"/>
      <c r="J107" s="81"/>
      <c r="K107" s="81"/>
      <c r="L107" s="102"/>
      <c r="M107" s="198"/>
      <c r="N107" s="74"/>
      <c r="O107" s="208"/>
      <c r="P107" s="114"/>
      <c r="Q107" s="236"/>
      <c r="R107" s="109"/>
      <c r="S107" s="238"/>
      <c r="T107" s="73"/>
      <c r="U107" s="74"/>
      <c r="V107" s="75"/>
      <c r="W107" s="32"/>
      <c r="X107" s="8"/>
      <c r="Y107" s="48"/>
      <c r="Z107" s="48"/>
    </row>
    <row r="108" spans="1:26" ht="38.25" customHeight="1" x14ac:dyDescent="0.2">
      <c r="A108" s="279" t="s">
        <v>182</v>
      </c>
      <c r="B108" s="116" t="s">
        <v>49</v>
      </c>
      <c r="C108" s="117" t="s">
        <v>47</v>
      </c>
      <c r="D108" s="118"/>
      <c r="E108" s="119"/>
      <c r="F108" s="119"/>
      <c r="G108" s="210">
        <f>SUM(G109:G113)</f>
        <v>330</v>
      </c>
      <c r="H108" s="121"/>
      <c r="I108" s="119"/>
      <c r="J108" s="119"/>
      <c r="K108" s="119"/>
      <c r="L108" s="122"/>
      <c r="M108" s="199">
        <f t="shared" ref="M108:V108" si="256">SUM(M109:M113)</f>
        <v>330</v>
      </c>
      <c r="N108" s="124">
        <f t="shared" si="256"/>
        <v>10</v>
      </c>
      <c r="O108" s="210">
        <f t="shared" si="256"/>
        <v>0</v>
      </c>
      <c r="P108" s="125">
        <f t="shared" si="256"/>
        <v>320</v>
      </c>
      <c r="Q108" s="126">
        <f t="shared" si="256"/>
        <v>12</v>
      </c>
      <c r="R108" s="127">
        <f t="shared" si="256"/>
        <v>308</v>
      </c>
      <c r="S108" s="215">
        <f t="shared" si="256"/>
        <v>0</v>
      </c>
      <c r="T108" s="123">
        <f t="shared" si="256"/>
        <v>0</v>
      </c>
      <c r="U108" s="124">
        <f t="shared" si="256"/>
        <v>0</v>
      </c>
      <c r="V108" s="120">
        <f t="shared" si="256"/>
        <v>0</v>
      </c>
      <c r="W108" s="32"/>
      <c r="X108" s="8"/>
      <c r="Y108" s="48"/>
      <c r="Z108" s="48"/>
    </row>
    <row r="109" spans="1:26" s="49" customFormat="1" ht="15" customHeight="1" x14ac:dyDescent="0.25">
      <c r="A109" s="280"/>
      <c r="B109" s="116" t="s">
        <v>50</v>
      </c>
      <c r="C109" s="117" t="s">
        <v>47</v>
      </c>
      <c r="D109" s="128">
        <v>1</v>
      </c>
      <c r="E109" s="129"/>
      <c r="F109" s="130"/>
      <c r="G109" s="210">
        <v>66</v>
      </c>
      <c r="H109" s="131"/>
      <c r="I109" s="132" t="s">
        <v>40</v>
      </c>
      <c r="J109" s="130"/>
      <c r="K109" s="130"/>
      <c r="L109" s="133"/>
      <c r="M109" s="200">
        <f t="shared" ref="M109:M113" si="257">SUM(N109:P109)</f>
        <v>66</v>
      </c>
      <c r="N109" s="134">
        <f t="shared" ref="N109:N113" si="258">IF(I109="+",2,0)+IF(I109="д",2,0)+IF(J109="+",2,0)+IF(K109="+",1,0)</f>
        <v>2</v>
      </c>
      <c r="O109" s="211">
        <f t="shared" ref="O109:O113" si="259">IF(H109="+",9,0)</f>
        <v>0</v>
      </c>
      <c r="P109" s="125">
        <f t="shared" ref="P109:P113" si="260">SUM(Q109:S109)</f>
        <v>64</v>
      </c>
      <c r="Q109" s="135">
        <v>6</v>
      </c>
      <c r="R109" s="135">
        <v>58</v>
      </c>
      <c r="S109" s="216"/>
      <c r="T109" s="123">
        <f t="shared" ref="T109:T113" si="261">SUM(U109:V109)</f>
        <v>0</v>
      </c>
      <c r="U109" s="124">
        <f t="shared" ref="U109:U113" si="262">IF(H109="+",27,0)</f>
        <v>0</v>
      </c>
      <c r="V109" s="120">
        <f t="shared" ref="V109:V113" si="263">G109-M109-U109</f>
        <v>0</v>
      </c>
      <c r="W109" s="62"/>
      <c r="X109" s="63"/>
      <c r="Y109" s="48">
        <f>IF(J109="+",IF(V109&lt;60,"мало часов на КП",0),0)</f>
        <v>0</v>
      </c>
      <c r="Z109" s="48">
        <f>IF(K109="+",IF(V109&lt;40,"мало часов на КР",0),0)</f>
        <v>0</v>
      </c>
    </row>
    <row r="110" spans="1:26" s="49" customFormat="1" ht="15" customHeight="1" x14ac:dyDescent="0.25">
      <c r="A110" s="280"/>
      <c r="B110" s="116" t="s">
        <v>50</v>
      </c>
      <c r="C110" s="117" t="s">
        <v>47</v>
      </c>
      <c r="D110" s="128">
        <v>2</v>
      </c>
      <c r="E110" s="129"/>
      <c r="F110" s="130"/>
      <c r="G110" s="210">
        <v>66</v>
      </c>
      <c r="H110" s="131"/>
      <c r="I110" s="132" t="s">
        <v>40</v>
      </c>
      <c r="J110" s="130"/>
      <c r="K110" s="130"/>
      <c r="L110" s="133"/>
      <c r="M110" s="200">
        <f t="shared" si="257"/>
        <v>66</v>
      </c>
      <c r="N110" s="134">
        <f t="shared" si="258"/>
        <v>2</v>
      </c>
      <c r="O110" s="211">
        <f t="shared" si="259"/>
        <v>0</v>
      </c>
      <c r="P110" s="125">
        <f t="shared" si="260"/>
        <v>64</v>
      </c>
      <c r="Q110" s="135"/>
      <c r="R110" s="135">
        <v>64</v>
      </c>
      <c r="S110" s="216"/>
      <c r="T110" s="123">
        <f t="shared" si="261"/>
        <v>0</v>
      </c>
      <c r="U110" s="124">
        <f t="shared" si="262"/>
        <v>0</v>
      </c>
      <c r="V110" s="120">
        <f t="shared" si="263"/>
        <v>0</v>
      </c>
      <c r="W110" s="62"/>
      <c r="X110" s="63"/>
      <c r="Y110" s="48">
        <f>IF(J110="+",IF(V110&lt;60,"мало часов на КП",0),0)</f>
        <v>0</v>
      </c>
      <c r="Z110" s="48">
        <f>IF(K110="+",IF(V110&lt;40,"мало часов на КР",0),0)</f>
        <v>0</v>
      </c>
    </row>
    <row r="111" spans="1:26" s="49" customFormat="1" ht="15" customHeight="1" x14ac:dyDescent="0.25">
      <c r="A111" s="280"/>
      <c r="B111" s="116" t="s">
        <v>50</v>
      </c>
      <c r="C111" s="117" t="s">
        <v>47</v>
      </c>
      <c r="D111" s="128">
        <v>3</v>
      </c>
      <c r="E111" s="129"/>
      <c r="F111" s="130"/>
      <c r="G111" s="210">
        <v>66</v>
      </c>
      <c r="H111" s="131"/>
      <c r="I111" s="132" t="s">
        <v>40</v>
      </c>
      <c r="J111" s="130"/>
      <c r="K111" s="130"/>
      <c r="L111" s="133"/>
      <c r="M111" s="200">
        <f t="shared" si="257"/>
        <v>66</v>
      </c>
      <c r="N111" s="134">
        <f t="shared" si="258"/>
        <v>2</v>
      </c>
      <c r="O111" s="211">
        <f t="shared" si="259"/>
        <v>0</v>
      </c>
      <c r="P111" s="125">
        <f t="shared" si="260"/>
        <v>64</v>
      </c>
      <c r="Q111" s="135">
        <v>4</v>
      </c>
      <c r="R111" s="135">
        <v>60</v>
      </c>
      <c r="S111" s="216"/>
      <c r="T111" s="123">
        <f t="shared" si="261"/>
        <v>0</v>
      </c>
      <c r="U111" s="124">
        <f t="shared" si="262"/>
        <v>0</v>
      </c>
      <c r="V111" s="120">
        <f t="shared" si="263"/>
        <v>0</v>
      </c>
      <c r="W111" s="62"/>
      <c r="X111" s="63"/>
      <c r="Y111" s="48">
        <f>IF(J111="+",IF(V111&lt;60,"мало часов на КП",0),0)</f>
        <v>0</v>
      </c>
      <c r="Z111" s="48">
        <f>IF(K111="+",IF(V111&lt;40,"мало часов на КР",0),0)</f>
        <v>0</v>
      </c>
    </row>
    <row r="112" spans="1:26" s="49" customFormat="1" ht="15" x14ac:dyDescent="0.25">
      <c r="A112" s="280"/>
      <c r="B112" s="116" t="s">
        <v>50</v>
      </c>
      <c r="C112" s="117" t="s">
        <v>47</v>
      </c>
      <c r="D112" s="128">
        <v>4</v>
      </c>
      <c r="E112" s="129"/>
      <c r="F112" s="130"/>
      <c r="G112" s="210">
        <v>66</v>
      </c>
      <c r="H112" s="131"/>
      <c r="I112" s="132" t="s">
        <v>40</v>
      </c>
      <c r="J112" s="130"/>
      <c r="K112" s="130"/>
      <c r="L112" s="133"/>
      <c r="M112" s="200">
        <f t="shared" si="257"/>
        <v>66</v>
      </c>
      <c r="N112" s="134">
        <f t="shared" si="258"/>
        <v>2</v>
      </c>
      <c r="O112" s="211">
        <f t="shared" si="259"/>
        <v>0</v>
      </c>
      <c r="P112" s="125">
        <f t="shared" si="260"/>
        <v>64</v>
      </c>
      <c r="Q112" s="135"/>
      <c r="R112" s="135">
        <v>64</v>
      </c>
      <c r="S112" s="216"/>
      <c r="T112" s="123">
        <f t="shared" si="261"/>
        <v>0</v>
      </c>
      <c r="U112" s="124">
        <f t="shared" si="262"/>
        <v>0</v>
      </c>
      <c r="V112" s="120">
        <f t="shared" si="263"/>
        <v>0</v>
      </c>
      <c r="W112" s="62"/>
      <c r="X112" s="63"/>
      <c r="Y112" s="48">
        <f>IF(J112="+",IF(V112&lt;60,"мало часов на КП",0),0)</f>
        <v>0</v>
      </c>
      <c r="Z112" s="48">
        <f>IF(K112="+",IF(V112&lt;40,"мало часов на КР",0),0)</f>
        <v>0</v>
      </c>
    </row>
    <row r="113" spans="1:26" s="49" customFormat="1" ht="15" customHeight="1" x14ac:dyDescent="0.25">
      <c r="A113" s="281"/>
      <c r="B113" s="116" t="s">
        <v>50</v>
      </c>
      <c r="C113" s="117" t="s">
        <v>47</v>
      </c>
      <c r="D113" s="128">
        <v>5</v>
      </c>
      <c r="E113" s="129"/>
      <c r="F113" s="130"/>
      <c r="G113" s="210">
        <v>66</v>
      </c>
      <c r="H113" s="131"/>
      <c r="I113" s="132" t="s">
        <v>40</v>
      </c>
      <c r="J113" s="130"/>
      <c r="K113" s="130"/>
      <c r="L113" s="133"/>
      <c r="M113" s="200">
        <f t="shared" si="257"/>
        <v>66</v>
      </c>
      <c r="N113" s="134">
        <f t="shared" si="258"/>
        <v>2</v>
      </c>
      <c r="O113" s="211">
        <f t="shared" si="259"/>
        <v>0</v>
      </c>
      <c r="P113" s="125">
        <f t="shared" si="260"/>
        <v>64</v>
      </c>
      <c r="Q113" s="135">
        <v>2</v>
      </c>
      <c r="R113" s="135">
        <v>62</v>
      </c>
      <c r="S113" s="216"/>
      <c r="T113" s="123">
        <f t="shared" si="261"/>
        <v>0</v>
      </c>
      <c r="U113" s="124">
        <f t="shared" si="262"/>
        <v>0</v>
      </c>
      <c r="V113" s="120">
        <f t="shared" si="263"/>
        <v>0</v>
      </c>
      <c r="W113" s="62"/>
      <c r="X113" s="63"/>
      <c r="Y113" s="48">
        <f>IF(J113="+",IF(V113&lt;60,"мало часов на КП",0),0)</f>
        <v>0</v>
      </c>
      <c r="Z113" s="48">
        <f>IF(K113="+",IF(V113&lt;40,"мало часов на КР",0),0)</f>
        <v>0</v>
      </c>
    </row>
    <row r="114" spans="1:26" ht="43.5" customHeight="1" x14ac:dyDescent="0.25">
      <c r="A114" s="274" t="s">
        <v>99</v>
      </c>
      <c r="B114" s="275"/>
      <c r="C114" s="136"/>
      <c r="D114" s="137"/>
      <c r="E114" s="137"/>
      <c r="F114" s="95">
        <f t="shared" ref="F114:L114" si="264">SUM(F120,F115)</f>
        <v>25</v>
      </c>
      <c r="G114" s="192">
        <f t="shared" si="264"/>
        <v>0</v>
      </c>
      <c r="H114" s="94">
        <f t="shared" si="264"/>
        <v>0</v>
      </c>
      <c r="I114" s="95">
        <f t="shared" si="264"/>
        <v>5</v>
      </c>
      <c r="J114" s="95">
        <f t="shared" si="264"/>
        <v>0</v>
      </c>
      <c r="K114" s="95">
        <f t="shared" si="264"/>
        <v>0</v>
      </c>
      <c r="L114" s="93">
        <f t="shared" si="264"/>
        <v>0</v>
      </c>
      <c r="M114" s="201">
        <f t="shared" ref="M114:V114" si="265">M115+M120</f>
        <v>0</v>
      </c>
      <c r="N114" s="201">
        <f t="shared" si="265"/>
        <v>0</v>
      </c>
      <c r="O114" s="219">
        <f t="shared" si="265"/>
        <v>0</v>
      </c>
      <c r="P114" s="196">
        <f t="shared" si="265"/>
        <v>0</v>
      </c>
      <c r="Q114" s="201">
        <f t="shared" si="265"/>
        <v>0</v>
      </c>
      <c r="R114" s="201">
        <f t="shared" si="265"/>
        <v>0</v>
      </c>
      <c r="S114" s="221">
        <f t="shared" si="265"/>
        <v>0</v>
      </c>
      <c r="T114" s="196">
        <f t="shared" si="265"/>
        <v>0</v>
      </c>
      <c r="U114" s="201">
        <f t="shared" si="265"/>
        <v>0</v>
      </c>
      <c r="V114" s="221">
        <f t="shared" si="265"/>
        <v>0</v>
      </c>
      <c r="W114" s="99"/>
      <c r="X114" s="138" t="s">
        <v>51</v>
      </c>
      <c r="Y114" s="3">
        <f t="shared" ref="Y114:Y123" si="266">IF(J114="+",IF(V114&lt;72,"мало часов на КП(КР)",0),0)</f>
        <v>0</v>
      </c>
      <c r="Z114" s="3">
        <f t="shared" ref="Z114:Z123" si="267">IF(K114="+",IF(V114&lt;72,"мало часов на КП(КР)",0),0)</f>
        <v>0</v>
      </c>
    </row>
    <row r="115" spans="1:26" ht="15.75" customHeight="1" x14ac:dyDescent="0.25">
      <c r="A115" s="195" t="s">
        <v>95</v>
      </c>
      <c r="B115" s="194" t="s">
        <v>96</v>
      </c>
      <c r="C115" s="136"/>
      <c r="D115" s="137"/>
      <c r="E115" s="137"/>
      <c r="F115" s="41">
        <f>SUM(F116:F119)</f>
        <v>16</v>
      </c>
      <c r="G115" s="46">
        <f>SUM(G116:G119)</f>
        <v>0</v>
      </c>
      <c r="H115" s="43">
        <f>COUNTIF(H116:H119,"+")</f>
        <v>0</v>
      </c>
      <c r="I115" s="44">
        <f>COUNTIF(I116:I119,"+")+COUNTIF(I116:I119,"д")</f>
        <v>4</v>
      </c>
      <c r="J115" s="44">
        <f>COUNTIF(J116:J119,"+")</f>
        <v>0</v>
      </c>
      <c r="K115" s="44">
        <f>COUNTIF(K116:K119,"+")</f>
        <v>0</v>
      </c>
      <c r="L115" s="42">
        <f>COUNTIF(L116:L119,"+")</f>
        <v>0</v>
      </c>
      <c r="M115" s="45">
        <f t="shared" ref="M115:V115" si="268">SUM(M116:M119)</f>
        <v>0</v>
      </c>
      <c r="N115" s="44">
        <f t="shared" si="268"/>
        <v>0</v>
      </c>
      <c r="O115" s="46">
        <f t="shared" si="268"/>
        <v>0</v>
      </c>
      <c r="P115" s="43">
        <f t="shared" si="268"/>
        <v>0</v>
      </c>
      <c r="Q115" s="44">
        <f t="shared" si="268"/>
        <v>0</v>
      </c>
      <c r="R115" s="44">
        <f t="shared" si="268"/>
        <v>0</v>
      </c>
      <c r="S115" s="42">
        <f t="shared" si="268"/>
        <v>0</v>
      </c>
      <c r="T115" s="43">
        <f t="shared" si="268"/>
        <v>0</v>
      </c>
      <c r="U115" s="44">
        <f t="shared" si="268"/>
        <v>0</v>
      </c>
      <c r="V115" s="42">
        <f t="shared" si="268"/>
        <v>0</v>
      </c>
      <c r="W115" s="99"/>
      <c r="X115" s="138"/>
      <c r="Y115" s="3"/>
      <c r="Z115" s="3"/>
    </row>
    <row r="116" spans="1:26" ht="25.5" x14ac:dyDescent="0.25">
      <c r="A116" s="248" t="s">
        <v>135</v>
      </c>
      <c r="B116" s="243" t="s">
        <v>134</v>
      </c>
      <c r="C116" s="107" t="s">
        <v>107</v>
      </c>
      <c r="D116" s="81">
        <v>4</v>
      </c>
      <c r="E116" s="81"/>
      <c r="F116" s="81">
        <v>6</v>
      </c>
      <c r="G116" s="141" t="s">
        <v>54</v>
      </c>
      <c r="H116" s="142"/>
      <c r="I116" s="143" t="s">
        <v>41</v>
      </c>
      <c r="J116" s="143"/>
      <c r="K116" s="143"/>
      <c r="L116" s="144"/>
      <c r="M116" s="145"/>
      <c r="N116" s="143"/>
      <c r="O116" s="146"/>
      <c r="P116" s="142"/>
      <c r="Q116" s="143"/>
      <c r="R116" s="143"/>
      <c r="S116" s="144"/>
      <c r="T116" s="142"/>
      <c r="U116" s="143"/>
      <c r="V116" s="144"/>
      <c r="W116" s="99"/>
      <c r="X116" s="138"/>
      <c r="Y116" s="3"/>
      <c r="Z116" s="3"/>
    </row>
    <row r="117" spans="1:26" ht="25.5" customHeight="1" x14ac:dyDescent="0.25">
      <c r="A117" s="248" t="s">
        <v>136</v>
      </c>
      <c r="B117" s="244" t="s">
        <v>260</v>
      </c>
      <c r="C117" s="107" t="s">
        <v>113</v>
      </c>
      <c r="D117" s="81">
        <v>2</v>
      </c>
      <c r="E117" s="81"/>
      <c r="F117" s="81">
        <v>2</v>
      </c>
      <c r="G117" s="141" t="s">
        <v>193</v>
      </c>
      <c r="H117" s="142"/>
      <c r="I117" s="143" t="s">
        <v>41</v>
      </c>
      <c r="J117" s="143"/>
      <c r="K117" s="143"/>
      <c r="L117" s="144"/>
      <c r="M117" s="145"/>
      <c r="N117" s="143"/>
      <c r="O117" s="146"/>
      <c r="P117" s="142"/>
      <c r="Q117" s="143"/>
      <c r="R117" s="143"/>
      <c r="S117" s="144"/>
      <c r="T117" s="142"/>
      <c r="U117" s="143"/>
      <c r="V117" s="144"/>
      <c r="W117" s="99"/>
      <c r="X117" s="138"/>
      <c r="Y117" s="3"/>
      <c r="Z117" s="3"/>
    </row>
    <row r="118" spans="1:26" ht="25.5" customHeight="1" x14ac:dyDescent="0.25">
      <c r="A118" s="248" t="s">
        <v>98</v>
      </c>
      <c r="B118" s="262" t="s">
        <v>259</v>
      </c>
      <c r="C118" s="107" t="s">
        <v>113</v>
      </c>
      <c r="D118" s="81">
        <v>2</v>
      </c>
      <c r="E118" s="81"/>
      <c r="F118" s="81">
        <v>2</v>
      </c>
      <c r="G118" s="141" t="s">
        <v>193</v>
      </c>
      <c r="H118" s="142"/>
      <c r="I118" s="143" t="s">
        <v>41</v>
      </c>
      <c r="J118" s="143"/>
      <c r="K118" s="143"/>
      <c r="L118" s="144"/>
      <c r="M118" s="145"/>
      <c r="N118" s="143"/>
      <c r="O118" s="146"/>
      <c r="P118" s="142"/>
      <c r="Q118" s="143"/>
      <c r="R118" s="143"/>
      <c r="S118" s="144"/>
      <c r="T118" s="142"/>
      <c r="U118" s="143"/>
      <c r="V118" s="144"/>
      <c r="W118" s="99"/>
      <c r="X118" s="138"/>
      <c r="Y118" s="3"/>
      <c r="Z118" s="3"/>
    </row>
    <row r="119" spans="1:26" ht="25.5" customHeight="1" x14ac:dyDescent="0.25">
      <c r="A119" s="248" t="s">
        <v>137</v>
      </c>
      <c r="B119" s="245" t="s">
        <v>133</v>
      </c>
      <c r="C119" s="239" t="s">
        <v>113</v>
      </c>
      <c r="D119" s="81">
        <v>6</v>
      </c>
      <c r="E119" s="81"/>
      <c r="F119" s="81">
        <v>6</v>
      </c>
      <c r="G119" s="141" t="s">
        <v>54</v>
      </c>
      <c r="H119" s="142"/>
      <c r="I119" s="143" t="s">
        <v>41</v>
      </c>
      <c r="J119" s="143"/>
      <c r="K119" s="143"/>
      <c r="L119" s="144"/>
      <c r="M119" s="145"/>
      <c r="N119" s="143"/>
      <c r="O119" s="146"/>
      <c r="P119" s="142"/>
      <c r="Q119" s="143"/>
      <c r="R119" s="143"/>
      <c r="S119" s="144"/>
      <c r="T119" s="142"/>
      <c r="U119" s="143"/>
      <c r="V119" s="144"/>
      <c r="W119" s="99"/>
      <c r="X119" s="138"/>
      <c r="Y119" s="3"/>
      <c r="Z119" s="3"/>
    </row>
    <row r="120" spans="1:26" ht="63" customHeight="1" x14ac:dyDescent="0.25">
      <c r="A120" s="139" t="s">
        <v>52</v>
      </c>
      <c r="B120" s="251" t="s">
        <v>97</v>
      </c>
      <c r="C120" s="136"/>
      <c r="D120" s="137"/>
      <c r="E120" s="137"/>
      <c r="F120" s="90">
        <f>SUM(F121:F121)</f>
        <v>9</v>
      </c>
      <c r="G120" s="91"/>
      <c r="H120" s="43">
        <f>COUNTIF(H121:H121,"+")</f>
        <v>0</v>
      </c>
      <c r="I120" s="44">
        <f>COUNTIF(I121:I121,"+")+COUNTIF(I121:I121,"д")</f>
        <v>1</v>
      </c>
      <c r="J120" s="44">
        <f>COUNTIF(J121:J121,"+")</f>
        <v>0</v>
      </c>
      <c r="K120" s="44">
        <f>COUNTIF(K121:K121,"+")</f>
        <v>0</v>
      </c>
      <c r="L120" s="42">
        <f>COUNTIF(L121:L121,"+")</f>
        <v>0</v>
      </c>
      <c r="M120" s="45">
        <f t="shared" ref="M120:V120" si="269">SUM(M121:M121)</f>
        <v>0</v>
      </c>
      <c r="N120" s="45">
        <f t="shared" si="269"/>
        <v>0</v>
      </c>
      <c r="O120" s="220">
        <f t="shared" si="269"/>
        <v>0</v>
      </c>
      <c r="P120" s="43">
        <f t="shared" si="269"/>
        <v>0</v>
      </c>
      <c r="Q120" s="45">
        <f t="shared" si="269"/>
        <v>0</v>
      </c>
      <c r="R120" s="45">
        <f t="shared" si="269"/>
        <v>0</v>
      </c>
      <c r="S120" s="222">
        <f t="shared" si="269"/>
        <v>0</v>
      </c>
      <c r="T120" s="43">
        <f t="shared" si="269"/>
        <v>0</v>
      </c>
      <c r="U120" s="45">
        <f t="shared" si="269"/>
        <v>0</v>
      </c>
      <c r="V120" s="222">
        <f t="shared" si="269"/>
        <v>0</v>
      </c>
      <c r="W120" s="99"/>
      <c r="X120" s="8"/>
      <c r="Y120" s="3">
        <f t="shared" si="266"/>
        <v>0</v>
      </c>
      <c r="Z120" s="3">
        <f t="shared" si="267"/>
        <v>0</v>
      </c>
    </row>
    <row r="121" spans="1:26" ht="42.75" customHeight="1" x14ac:dyDescent="0.2">
      <c r="A121" s="249" t="s">
        <v>53</v>
      </c>
      <c r="B121" s="147" t="s">
        <v>56</v>
      </c>
      <c r="C121" s="239" t="s">
        <v>113</v>
      </c>
      <c r="D121" s="81">
        <v>8</v>
      </c>
      <c r="E121" s="81"/>
      <c r="F121" s="81">
        <v>9</v>
      </c>
      <c r="G121" s="141" t="s">
        <v>192</v>
      </c>
      <c r="H121" s="142"/>
      <c r="I121" s="143" t="s">
        <v>41</v>
      </c>
      <c r="J121" s="143"/>
      <c r="K121" s="143"/>
      <c r="L121" s="144"/>
      <c r="M121" s="145"/>
      <c r="N121" s="143"/>
      <c r="O121" s="146"/>
      <c r="P121" s="142"/>
      <c r="Q121" s="143"/>
      <c r="R121" s="143"/>
      <c r="S121" s="144"/>
      <c r="T121" s="142"/>
      <c r="U121" s="143"/>
      <c r="V121" s="144"/>
      <c r="W121" s="140"/>
      <c r="X121" s="148" t="s">
        <v>55</v>
      </c>
      <c r="Y121" s="3">
        <f t="shared" si="266"/>
        <v>0</v>
      </c>
      <c r="Z121" s="3">
        <f t="shared" si="267"/>
        <v>0</v>
      </c>
    </row>
    <row r="122" spans="1:26" ht="15.75" customHeight="1" x14ac:dyDescent="0.25">
      <c r="A122" s="276" t="s">
        <v>57</v>
      </c>
      <c r="B122" s="277"/>
      <c r="C122" s="277"/>
      <c r="D122" s="278"/>
      <c r="E122" s="217"/>
      <c r="F122" s="95">
        <f>SUM(F123:F123)</f>
        <v>6</v>
      </c>
      <c r="G122" s="96"/>
      <c r="H122" s="94"/>
      <c r="I122" s="95"/>
      <c r="J122" s="95"/>
      <c r="K122" s="95"/>
      <c r="L122" s="93"/>
      <c r="M122" s="193"/>
      <c r="N122" s="95"/>
      <c r="O122" s="192"/>
      <c r="P122" s="94"/>
      <c r="Q122" s="95"/>
      <c r="R122" s="95"/>
      <c r="S122" s="93"/>
      <c r="T122" s="94"/>
      <c r="U122" s="95"/>
      <c r="V122" s="93"/>
      <c r="W122" s="149"/>
      <c r="X122" s="8"/>
      <c r="Y122" s="3">
        <f t="shared" si="266"/>
        <v>0</v>
      </c>
      <c r="Z122" s="3">
        <f t="shared" si="267"/>
        <v>0</v>
      </c>
    </row>
    <row r="123" spans="1:26" ht="38.25" customHeight="1" thickBot="1" x14ac:dyDescent="0.25">
      <c r="A123" s="250" t="s">
        <v>138</v>
      </c>
      <c r="B123" s="150" t="s">
        <v>105</v>
      </c>
      <c r="C123" s="107" t="s">
        <v>113</v>
      </c>
      <c r="D123" s="151">
        <v>8</v>
      </c>
      <c r="E123" s="151"/>
      <c r="F123" s="151">
        <v>6</v>
      </c>
      <c r="G123" s="152" t="s">
        <v>54</v>
      </c>
      <c r="H123" s="153"/>
      <c r="I123" s="154"/>
      <c r="J123" s="154"/>
      <c r="K123" s="154"/>
      <c r="L123" s="155"/>
      <c r="M123" s="156"/>
      <c r="N123" s="154"/>
      <c r="O123" s="157"/>
      <c r="P123" s="153"/>
      <c r="Q123" s="154"/>
      <c r="R123" s="154"/>
      <c r="S123" s="155"/>
      <c r="T123" s="153"/>
      <c r="U123" s="154"/>
      <c r="V123" s="155"/>
      <c r="W123" s="158"/>
      <c r="X123" s="8"/>
      <c r="Y123" s="3">
        <f t="shared" si="266"/>
        <v>0</v>
      </c>
      <c r="Z123" s="3">
        <f t="shared" si="267"/>
        <v>0</v>
      </c>
    </row>
    <row r="124" spans="1:26" ht="16.5" customHeight="1" thickBot="1" x14ac:dyDescent="0.3">
      <c r="A124" s="159"/>
      <c r="B124" s="160" t="s">
        <v>58</v>
      </c>
      <c r="C124" s="161"/>
      <c r="D124" s="162"/>
      <c r="E124" s="162"/>
      <c r="F124" s="162">
        <f>F15+F114+F122</f>
        <v>240</v>
      </c>
      <c r="G124" s="163">
        <f>F124*36</f>
        <v>8640</v>
      </c>
      <c r="H124" s="164">
        <f t="shared" ref="H124:V124" si="270">H15+H114+H122</f>
        <v>21</v>
      </c>
      <c r="I124" s="162">
        <f t="shared" si="270"/>
        <v>62</v>
      </c>
      <c r="J124" s="162">
        <f t="shared" si="270"/>
        <v>4</v>
      </c>
      <c r="K124" s="162">
        <f t="shared" si="270"/>
        <v>4</v>
      </c>
      <c r="L124" s="165">
        <f t="shared" si="270"/>
        <v>14</v>
      </c>
      <c r="M124" s="202">
        <f t="shared" si="270"/>
        <v>3405</v>
      </c>
      <c r="N124" s="252">
        <f t="shared" si="270"/>
        <v>116</v>
      </c>
      <c r="O124" s="163">
        <f t="shared" si="270"/>
        <v>189</v>
      </c>
      <c r="P124" s="164">
        <f t="shared" si="270"/>
        <v>3100</v>
      </c>
      <c r="Q124" s="162">
        <f t="shared" si="270"/>
        <v>1214</v>
      </c>
      <c r="R124" s="162">
        <f t="shared" si="270"/>
        <v>1322</v>
      </c>
      <c r="S124" s="165">
        <f t="shared" si="270"/>
        <v>564</v>
      </c>
      <c r="T124" s="164">
        <f t="shared" si="270"/>
        <v>4047</v>
      </c>
      <c r="U124" s="162">
        <f t="shared" si="270"/>
        <v>567</v>
      </c>
      <c r="V124" s="165">
        <f t="shared" si="270"/>
        <v>3480</v>
      </c>
      <c r="W124" s="149"/>
      <c r="X124" s="8"/>
      <c r="Y124" s="3">
        <f>IF(J124="+",IF(V124&lt;72,"мало часов на КП(КР)",0),0)</f>
        <v>0</v>
      </c>
      <c r="Z124" s="3">
        <f>IF(K124="+",IF(V124&lt;72,"мало часов на КП(КР)",0),0)</f>
        <v>0</v>
      </c>
    </row>
    <row r="125" spans="1:26" ht="15" x14ac:dyDescent="0.2">
      <c r="A125" s="166"/>
      <c r="B125" s="166"/>
      <c r="C125" s="167"/>
      <c r="D125" s="167"/>
      <c r="E125" s="167"/>
      <c r="F125" s="167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40"/>
      <c r="X125" s="8"/>
      <c r="Y125" s="3"/>
      <c r="Z125" s="3"/>
    </row>
    <row r="126" spans="1:26" ht="15" x14ac:dyDescent="0.2">
      <c r="A126" s="166"/>
      <c r="B126" s="168" t="s">
        <v>6</v>
      </c>
      <c r="C126" s="169">
        <v>1</v>
      </c>
      <c r="D126" s="169">
        <v>2</v>
      </c>
      <c r="E126" s="169">
        <v>3</v>
      </c>
      <c r="F126" s="169">
        <v>4</v>
      </c>
      <c r="G126" s="169">
        <v>5</v>
      </c>
      <c r="H126" s="169">
        <v>6</v>
      </c>
      <c r="I126" s="169">
        <v>7</v>
      </c>
      <c r="J126" s="169">
        <v>8</v>
      </c>
      <c r="K126" s="268" t="s">
        <v>21</v>
      </c>
      <c r="L126" s="269"/>
      <c r="N126" s="166"/>
      <c r="W126" s="140"/>
      <c r="X126" s="8"/>
      <c r="Y126" s="3"/>
      <c r="Z126" s="3"/>
    </row>
    <row r="127" spans="1:26" ht="15.75" x14ac:dyDescent="0.2">
      <c r="A127" s="166"/>
      <c r="B127" s="170" t="s">
        <v>59</v>
      </c>
      <c r="C127" s="81">
        <v>18</v>
      </c>
      <c r="D127" s="81">
        <v>17</v>
      </c>
      <c r="E127" s="81">
        <v>18</v>
      </c>
      <c r="F127" s="81">
        <v>17</v>
      </c>
      <c r="G127" s="81">
        <v>18</v>
      </c>
      <c r="H127" s="81">
        <v>17</v>
      </c>
      <c r="I127" s="81">
        <v>18</v>
      </c>
      <c r="J127" s="171">
        <v>9</v>
      </c>
      <c r="K127" s="270">
        <f>SUM(C127:J127)</f>
        <v>132</v>
      </c>
      <c r="L127" s="271"/>
      <c r="N127" s="166"/>
      <c r="W127" s="140"/>
      <c r="X127" s="8"/>
      <c r="Y127" s="3"/>
      <c r="Z127" s="3"/>
    </row>
    <row r="128" spans="1:26" ht="15.75" x14ac:dyDescent="0.2">
      <c r="A128" s="166"/>
      <c r="B128" s="170" t="s">
        <v>60</v>
      </c>
      <c r="C128" s="81">
        <v>2</v>
      </c>
      <c r="D128" s="81">
        <v>2</v>
      </c>
      <c r="E128" s="81">
        <v>2</v>
      </c>
      <c r="F128" s="81">
        <v>2</v>
      </c>
      <c r="G128" s="81">
        <v>2</v>
      </c>
      <c r="H128" s="81">
        <v>2</v>
      </c>
      <c r="I128" s="81">
        <v>3</v>
      </c>
      <c r="J128" s="81">
        <v>2</v>
      </c>
      <c r="K128" s="270">
        <f>SUM(C128:J128)</f>
        <v>17</v>
      </c>
      <c r="L128" s="271"/>
      <c r="N128" s="166"/>
      <c r="W128" s="140"/>
      <c r="X128" s="8"/>
      <c r="Y128" s="3"/>
      <c r="Z128" s="3"/>
    </row>
    <row r="129" spans="1:26" ht="30" x14ac:dyDescent="0.2">
      <c r="A129" s="166"/>
      <c r="B129" s="172" t="s">
        <v>61</v>
      </c>
      <c r="C129" s="173">
        <f>SUM(C127:C128)</f>
        <v>20</v>
      </c>
      <c r="D129" s="173">
        <f t="shared" ref="D129" si="271">SUM(D127:D128)</f>
        <v>19</v>
      </c>
      <c r="E129" s="173">
        <f t="shared" ref="E129:K129" si="272">SUM(E127:E128)</f>
        <v>20</v>
      </c>
      <c r="F129" s="173">
        <f t="shared" si="272"/>
        <v>19</v>
      </c>
      <c r="G129" s="173">
        <f t="shared" si="272"/>
        <v>20</v>
      </c>
      <c r="H129" s="173">
        <f t="shared" si="272"/>
        <v>19</v>
      </c>
      <c r="I129" s="173">
        <f t="shared" si="272"/>
        <v>21</v>
      </c>
      <c r="J129" s="173">
        <f t="shared" si="272"/>
        <v>11</v>
      </c>
      <c r="K129" s="270">
        <f t="shared" si="272"/>
        <v>149</v>
      </c>
      <c r="L129" s="271"/>
      <c r="N129" s="166"/>
      <c r="W129" s="140"/>
      <c r="X129" s="8"/>
      <c r="Y129" s="3"/>
      <c r="Z129" s="3"/>
    </row>
    <row r="130" spans="1:26" ht="15" x14ac:dyDescent="0.2">
      <c r="A130" s="166"/>
      <c r="B130" s="168" t="s">
        <v>62</v>
      </c>
      <c r="C130" s="168"/>
      <c r="D130" s="168"/>
      <c r="E130" s="168"/>
      <c r="F130" s="168"/>
      <c r="G130" s="168"/>
      <c r="H130" s="168"/>
      <c r="I130" s="168"/>
      <c r="J130" s="168"/>
      <c r="K130" s="286"/>
      <c r="L130" s="287"/>
      <c r="N130" s="166"/>
      <c r="O130" s="285" t="s">
        <v>63</v>
      </c>
      <c r="P130" s="285"/>
      <c r="Q130" s="285"/>
      <c r="R130" s="285"/>
      <c r="S130" s="285"/>
      <c r="T130" s="285"/>
      <c r="U130" s="174">
        <f>P124/K127</f>
        <v>23.484848484848484</v>
      </c>
      <c r="V130" s="166"/>
      <c r="W130" s="140"/>
      <c r="X130" s="8"/>
      <c r="Y130" s="3"/>
      <c r="Z130" s="3"/>
    </row>
    <row r="131" spans="1:26" ht="15.75" x14ac:dyDescent="0.2">
      <c r="A131" s="166"/>
      <c r="B131" s="170" t="s">
        <v>64</v>
      </c>
      <c r="C131" s="173">
        <f>SUMIF($D$17:$D$95,1,$F$17:$F$95)+SUMIF($D$97:$D$98,1,$F$97:$F$98)+SUMIF($D$101:$D$113,1,$F$101:$F$113)</f>
        <v>30</v>
      </c>
      <c r="D131" s="173">
        <f>SUMIF($D$17:$D$95,2,$F$17:$F$95)+SUMIF($D$97:$D$98,2,$F$97:$F$98)+SUMIF($D$101:$D$113,2,$F$101:$F$113)</f>
        <v>26</v>
      </c>
      <c r="E131" s="173">
        <f>SUMIF($D$17:$D$95,3,$F$17:$F$95)+SUMIF($D$97:$D$98,3,$F$97:$F$98)+SUMIF($D$106:$D$113,3,$F$106:$F$113)</f>
        <v>28</v>
      </c>
      <c r="F131" s="173">
        <f>SUMIF($D$17:$D$95,4,$F$17:$F$95)+SUMIF($D$97:$D$98,4,$F$97:$F$98)+SUMIF($D$106:$D$113,4,$F$106:$F$113)</f>
        <v>26</v>
      </c>
      <c r="G131" s="173">
        <f>SUMIF($D$17:$D$95,5,$F$17:$F$95)+SUMIF($D$97:$D$98,5,$F$97:$F$98)+SUMIF($D$106:$D$113,5,$F$106:$F$113)</f>
        <v>29</v>
      </c>
      <c r="H131" s="173">
        <f>SUMIF($D$17:$D$95,6,$F$17:$F$95)+SUMIF($D$97:$D$98,6,$F$97:$F$98)+SUMIF($D$106:$D$113,6,$F$106:$F$113)</f>
        <v>25</v>
      </c>
      <c r="I131" s="173">
        <f>SUMIF($D$17:$D$95,7,$F$17:$F$95)+SUMIF($D$97:$D$98,7,$F$97:$F$98)+SUMIF($D$106:$D$113,7,$F$106:$F$113)</f>
        <v>29</v>
      </c>
      <c r="J131" s="173">
        <f>SUMIF($D$17:$D$95,8,$F$17:$F$95)+SUMIF($D$97:$D$98,8,$F$97:$F$98)+SUMIF($D$106:$D$113,8,$F$106:$F$113)</f>
        <v>16</v>
      </c>
      <c r="K131" s="272">
        <f t="shared" ref="K131:K137" si="273">SUM(C131:J131)</f>
        <v>209</v>
      </c>
      <c r="L131" s="273"/>
      <c r="O131" s="166" t="s">
        <v>65</v>
      </c>
      <c r="P131" s="166"/>
      <c r="Q131" s="166"/>
      <c r="R131" s="166"/>
      <c r="S131" s="166"/>
      <c r="T131" s="166"/>
      <c r="U131" s="174">
        <f>Q124/P124*100</f>
        <v>39.161290322580641</v>
      </c>
      <c r="V131" s="166" t="s">
        <v>66</v>
      </c>
      <c r="W131" s="140"/>
      <c r="X131" s="8"/>
      <c r="Y131" s="3"/>
      <c r="Z131" s="3"/>
    </row>
    <row r="132" spans="1:26" ht="30" x14ac:dyDescent="0.2">
      <c r="A132" s="166"/>
      <c r="B132" s="224" t="s">
        <v>102</v>
      </c>
      <c r="C132" s="173">
        <f>SUMIF($D$106:$D$113,1,$F$106:$F$113)+SUMIF($D$97:$D$98,1,F97:F98)</f>
        <v>2</v>
      </c>
      <c r="D132" s="173">
        <f>SUMIF($D$106:$D$113,2,$F$106:$F$113)+SUMIF($D$97:$D$98,2,F97:F98)</f>
        <v>0</v>
      </c>
      <c r="E132" s="173">
        <f>SUMIF($D$106:$D$113,3,$F$106:$F$113)+SUMIF($D$97:$D$98,3,F97:F98)</f>
        <v>0</v>
      </c>
      <c r="F132" s="173">
        <f>SUMIF($D$106:$D$113,4,$F$106:$F$113)+SUMIF($D$97:$D$98,4,$F$97:$F$98)</f>
        <v>0</v>
      </c>
      <c r="G132" s="173">
        <f>SUMIF($D$106:$D$113,5,$F$106:$F$113)+SUMIF($D$97:$D$98,5,$F$97:$F$98)</f>
        <v>0</v>
      </c>
      <c r="H132" s="173">
        <f>SUMIF($D$106:$D$113,6,$F$106:$F$113)+SUMIF($D$97:$D$98,6,$F$97:$F$98)</f>
        <v>0</v>
      </c>
      <c r="I132" s="173">
        <f>SUMIF($D$106:$D$113,7,$F$106:$F$113)+SUMIF($D$97:$D$98,7,$F$97:$F$98)</f>
        <v>2</v>
      </c>
      <c r="J132" s="173">
        <f>SUMIF($D$106:$D$113,8,$F$106:$F$113)+SUMIF($D$97:$D$98,8,$F$97:$F$98)</f>
        <v>3</v>
      </c>
      <c r="K132" s="272">
        <f t="shared" si="273"/>
        <v>7</v>
      </c>
      <c r="L132" s="273"/>
      <c r="O132" s="166" t="s">
        <v>67</v>
      </c>
      <c r="P132" s="166"/>
      <c r="Q132" s="166"/>
      <c r="R132" s="166"/>
      <c r="S132" s="166"/>
      <c r="T132" s="166"/>
      <c r="U132" s="174">
        <f>K133/K132*100</f>
        <v>42.857142857142854</v>
      </c>
      <c r="V132" s="166" t="s">
        <v>66</v>
      </c>
      <c r="W132" s="140"/>
      <c r="X132" s="8"/>
      <c r="Y132" s="3"/>
      <c r="Z132" s="3"/>
    </row>
    <row r="133" spans="1:26" ht="15.75" x14ac:dyDescent="0.2">
      <c r="A133" s="166"/>
      <c r="B133" s="175" t="s">
        <v>68</v>
      </c>
      <c r="C133" s="173">
        <f>SUMIF($D$106:$D$113,1,$F$106:$F$113)</f>
        <v>0</v>
      </c>
      <c r="D133" s="173">
        <f>SUMIF($D$106:$D$113,2,$F$106:$F$113)</f>
        <v>0</v>
      </c>
      <c r="E133" s="173">
        <f>SUMIF($D$106:$D$113,3,$F$106:$F$113)</f>
        <v>0</v>
      </c>
      <c r="F133" s="173">
        <f>SUMIF($D$106:$D$113,4,$F$106:$F$113)</f>
        <v>0</v>
      </c>
      <c r="G133" s="173">
        <f>SUMIF($D$106:$D$113,5,$F$106:$F$113)</f>
        <v>0</v>
      </c>
      <c r="H133" s="173">
        <f>SUMIF($D$106:$D$113,6,$F$106:$F$113)</f>
        <v>0</v>
      </c>
      <c r="I133" s="173">
        <f>SUMIF($D$106:$D$113,7,$F$106:$F$113)</f>
        <v>0</v>
      </c>
      <c r="J133" s="173">
        <f>SUMIF($D$106:$D$113,8,$F$106:$F$113)</f>
        <v>3</v>
      </c>
      <c r="K133" s="272">
        <f t="shared" si="273"/>
        <v>3</v>
      </c>
      <c r="L133" s="273"/>
      <c r="O133" s="4" t="s">
        <v>103</v>
      </c>
      <c r="U133" s="4">
        <f>(F16+F115)/(F15+F114)*100</f>
        <v>92.307692307692307</v>
      </c>
      <c r="V133" s="4" t="s">
        <v>66</v>
      </c>
      <c r="W133" s="140"/>
      <c r="X133" s="8"/>
      <c r="Y133" s="3"/>
      <c r="Z133" s="3"/>
    </row>
    <row r="134" spans="1:26" ht="15.75" x14ac:dyDescent="0.2">
      <c r="B134" s="170" t="s">
        <v>69</v>
      </c>
      <c r="C134" s="173">
        <f>SUMIF($D$116:$D$121,1,$F$116:$F$121)</f>
        <v>0</v>
      </c>
      <c r="D134" s="173">
        <f>SUMIF($D$116:$D$121,2,$F$116:$F$121)</f>
        <v>4</v>
      </c>
      <c r="E134" s="173">
        <f>SUMIF($D$116:$D$121,3,$F$116:$F$121)</f>
        <v>0</v>
      </c>
      <c r="F134" s="173">
        <f>SUMIF($D$116:$D$121,4,$F$116:$F$121)</f>
        <v>6</v>
      </c>
      <c r="G134" s="173">
        <f>SUMIF($D$116:$D$121,5,$F$116:$F$121)</f>
        <v>0</v>
      </c>
      <c r="H134" s="173">
        <f>SUMIF($D$116:$D$121,6,$F$116:$F$121)</f>
        <v>6</v>
      </c>
      <c r="I134" s="173">
        <f>SUMIF($D$116:$D$121,7,$F$116:$F$121)</f>
        <v>0</v>
      </c>
      <c r="J134" s="173">
        <f>SUMIF($D$116:$D$121,8,$F$116:$F$121)</f>
        <v>9</v>
      </c>
      <c r="K134" s="272">
        <f t="shared" si="273"/>
        <v>25</v>
      </c>
      <c r="L134" s="273"/>
      <c r="W134" s="7"/>
      <c r="X134" s="8"/>
      <c r="Y134" s="3"/>
      <c r="Z134" s="3"/>
    </row>
    <row r="135" spans="1:26" ht="15.75" x14ac:dyDescent="0.2">
      <c r="B135" s="170" t="s">
        <v>70</v>
      </c>
      <c r="C135" s="171">
        <f>SUMIF($D$123,1,$F$123)</f>
        <v>0</v>
      </c>
      <c r="D135" s="171">
        <f>SUMIF($D$123,2,$F$123)</f>
        <v>0</v>
      </c>
      <c r="E135" s="171">
        <f>SUMIF($D$123,3,$F$123)</f>
        <v>0</v>
      </c>
      <c r="F135" s="171">
        <f>SUMIF($D$123:$D$123,4,$F$123:$F$123)</f>
        <v>0</v>
      </c>
      <c r="G135" s="171">
        <f>SUMIF($D$123:$D$123,5,$F$123:$F$123)</f>
        <v>0</v>
      </c>
      <c r="H135" s="171">
        <f>SUMIF($D$123:$D$123,6,$F$123:$F$123)</f>
        <v>0</v>
      </c>
      <c r="I135" s="171">
        <f>SUMIF($D$123:$D$123,7,$F$123:$F$123)</f>
        <v>0</v>
      </c>
      <c r="J135" s="171">
        <f>SUMIF($D$123:$D$123,8,$F$123:$F$123)</f>
        <v>6</v>
      </c>
      <c r="K135" s="272">
        <f t="shared" si="273"/>
        <v>6</v>
      </c>
      <c r="L135" s="273"/>
      <c r="W135" s="7"/>
      <c r="X135" s="8"/>
      <c r="Y135" s="3"/>
      <c r="Z135" s="3"/>
    </row>
    <row r="136" spans="1:26" ht="15.75" x14ac:dyDescent="0.2">
      <c r="B136" s="176" t="s">
        <v>71</v>
      </c>
      <c r="C136" s="171"/>
      <c r="D136" s="171"/>
      <c r="E136" s="171"/>
      <c r="F136" s="171"/>
      <c r="G136" s="177"/>
      <c r="H136" s="178"/>
      <c r="I136" s="177"/>
      <c r="J136" s="177"/>
      <c r="K136" s="288">
        <f t="shared" si="273"/>
        <v>0</v>
      </c>
      <c r="L136" s="289"/>
      <c r="W136" s="7"/>
      <c r="X136" s="8"/>
      <c r="Y136" s="3"/>
      <c r="Z136" s="3"/>
    </row>
    <row r="137" spans="1:26" ht="15.75" x14ac:dyDescent="0.25">
      <c r="B137" s="137" t="s">
        <v>72</v>
      </c>
      <c r="C137" s="179">
        <f>C131+C134+C135</f>
        <v>30</v>
      </c>
      <c r="D137" s="179">
        <f t="shared" ref="D137" si="274">D131+D134+D135</f>
        <v>30</v>
      </c>
      <c r="E137" s="95">
        <f t="shared" ref="E137:J137" si="275">E131+E134+E135</f>
        <v>28</v>
      </c>
      <c r="F137" s="95">
        <f t="shared" si="275"/>
        <v>32</v>
      </c>
      <c r="G137" s="95">
        <f t="shared" si="275"/>
        <v>29</v>
      </c>
      <c r="H137" s="95">
        <f t="shared" si="275"/>
        <v>31</v>
      </c>
      <c r="I137" s="95">
        <f t="shared" si="275"/>
        <v>29</v>
      </c>
      <c r="J137" s="95">
        <f t="shared" si="275"/>
        <v>31</v>
      </c>
      <c r="K137" s="290">
        <f t="shared" si="273"/>
        <v>240</v>
      </c>
      <c r="L137" s="291"/>
      <c r="W137" s="7"/>
      <c r="X137" s="8"/>
      <c r="Y137" s="3"/>
      <c r="Z137" s="3"/>
    </row>
    <row r="138" spans="1:26" ht="15" x14ac:dyDescent="0.2">
      <c r="B138" s="292" t="s">
        <v>73</v>
      </c>
      <c r="C138" s="293"/>
      <c r="D138" s="293"/>
      <c r="E138" s="293"/>
      <c r="F138" s="293"/>
      <c r="G138" s="293"/>
      <c r="H138" s="293"/>
      <c r="I138" s="293"/>
      <c r="J138" s="293"/>
      <c r="K138" s="293"/>
      <c r="L138" s="294"/>
      <c r="W138" s="7"/>
      <c r="X138" s="8"/>
      <c r="Y138" s="3"/>
      <c r="Z138" s="3"/>
    </row>
    <row r="139" spans="1:26" ht="15.75" x14ac:dyDescent="0.2">
      <c r="B139" s="170" t="s">
        <v>74</v>
      </c>
      <c r="C139" s="171">
        <f>COUNTIFS($D$17:$D$95,1,$H$17:$H$95,"+")+COUNTIFS($D$97:$D$98,1,$H$97:$H$98,"+")+COUNTIFS($D$106:$D$113,1,$H$106:$H$113,"+")</f>
        <v>3</v>
      </c>
      <c r="D139" s="171">
        <f>COUNTIFS($D$17:$D$95,2,$H$17:$H$95,"+")+COUNTIFS($D$97:$D$98,2,$H$97:$H$98,"+")+COUNTIFS($D$106:$D$113,2,$H$106:$H$113,"+")</f>
        <v>2</v>
      </c>
      <c r="E139" s="171">
        <f>COUNTIFS($D$17:$D$95,3,$H$17:$H$95,"+")+COUNTIFS($D$97:$D$98,3,$H$97:$H$98,"+")+COUNTIFS($D$106:$D$113,3,$H$106:$H$113,"+")</f>
        <v>3</v>
      </c>
      <c r="F139" s="171">
        <f>COUNTIFS($D$17:$D$95,4,$H$17:$H$95,"+")+COUNTIFS($D$97:$D$98,4,$H$97:$H$98,"+")+COUNTIFS($D$106:$D$113,4,$H$106:$H$113,"+")</f>
        <v>4</v>
      </c>
      <c r="G139" s="171">
        <f>COUNTIFS($D$17:$D$95,5,$H$17:$H$95,"+")+COUNTIFS($D$97:$D$98,5,$H$97:$H$98,"+")+COUNTIFS($D$106:$D$113,5,$H$106:$H$113,"+")</f>
        <v>2</v>
      </c>
      <c r="H139" s="171">
        <f>COUNTIFS($D$17:$D$95,6,$H$17:$H$95,"+")+COUNTIFS($D$97:$D$98,6,$H$97:$H$98,"+")+COUNTIFS($D$106:$D$113,6,$H$106:$H$113,"+")</f>
        <v>3</v>
      </c>
      <c r="I139" s="171">
        <f>COUNTIFS($D$17:$D$95,7,$H$17:$H$95,"+")+COUNTIFS($D$97:$D$98,7,$H$97:$H$98,"+")+COUNTIFS($D$106:$D$113,7,$H$106:$H$113,"+")</f>
        <v>3</v>
      </c>
      <c r="J139" s="171">
        <f>COUNTIFS($D$17:$D$95,8,$H$17:$H$95,"+")+COUNTIFS($D$97:$D$98,8,$H$97:$H$98,"+")+COUNTIFS($D$106:$D$113,8,$H$106:$H$113,"+")</f>
        <v>1</v>
      </c>
      <c r="K139" s="272">
        <f t="shared" ref="K139:K145" si="276">SUM(C139:J139)</f>
        <v>21</v>
      </c>
      <c r="L139" s="273"/>
      <c r="W139" s="7"/>
      <c r="X139" s="8"/>
      <c r="Y139" s="3"/>
      <c r="Z139" s="3"/>
    </row>
    <row r="140" spans="1:26" ht="15.75" x14ac:dyDescent="0.2">
      <c r="B140" s="170" t="s">
        <v>75</v>
      </c>
      <c r="C140" s="173">
        <f>COUNTIFS($D$17:$D$95,1,$I$17:$I$95,"+")+COUNTIFS($D$97:$D$98,1,$I$97:$I$98,"+")+COUNTIFS($D$106:$D$113,1,$I$106:$I$113,"+")+COUNTIFS($D$17:$D$95,1,$I$17:$I$95,"д")+COUNTIFS($D$97:$D$98,1,$I$97:$I$98,"д")+COUNTIFS($D$106:$D$113,1,$I$106:$I$113,"д")+COUNTIFS(D121:D121,1,I121:I121,"+")+COUNTIFS(D121:D121,1,I121:I121,"д")+COUNTIFS(D116:D119,1,I116:I119,"+")+COUNTIFS(D116:D119,1,I116:I119,"д")</f>
        <v>8</v>
      </c>
      <c r="D140" s="173">
        <f>COUNTIFS($D$17:$D$95,2,$I$17:$I$95,"+")+COUNTIFS($D$97:$D$98,2,$I$97:$I$98,"+")+COUNTIFS($D$106:$D$113,2,$I$106:$I$113,"+")+COUNTIFS($D$17:$D$95,2,$I$17:$I$95,"д")+COUNTIFS($D$97:$D$98,2,$I$97:$I$98,"д")+COUNTIFS($D$106:$D$113,2,$I$106:$I$113,"д")+COUNTIFS(D121:D121,2,I121:I121,"+")+COUNTIFS(D121:D121,2,I121:I121,"д")+COUNTIFS(D116:D119,2,I116:I119,"+")+COUNTIFS(D116:D119,2,I116:I119,"д")</f>
        <v>10</v>
      </c>
      <c r="E140" s="173">
        <f>COUNTIFS($D$17:$D$95,3,$I$17:$I$95,"+")+COUNTIFS($D$97:$D$98,3,$I$97:$I$98,"+")+COUNTIFS($D$106:$D$113,3,$I$106:$I$113,"+")+COUNTIFS($D$17:$D$95,3,$I$17:$I$95,"д")+COUNTIFS($D$97:$D$98,3,$I$97:$I$98,"д")+COUNTIFS($D$106:$D$113,3,$I$106:$I$113,"д")+COUNTIFS(D121:D121,3,I121:I121,"+")+COUNTIFS(D121:D121,3,I121:I121,"д")+COUNTIFS(D116:D119,3,I116:I119,"+")+COUNTIFS(D116:D119,3,I116:I119,"д")</f>
        <v>8</v>
      </c>
      <c r="F140" s="173">
        <f>COUNTIFS($D$17:$D$95,4,$I$17:$I$95,"+")+COUNTIFS($D$97:$D$98,4,$I$97:$I$98,"+")+COUNTIFS($D$106:$D$113,4,$I$106:$I$113,"+")+COUNTIFS($D$17:$D$95,4,$I$17:$I$95,"д")+COUNTIFS($D$97:$D$98,4,$I$97:$I$98,"д")+COUNTIFS($D$106:$D$113,4,$I$106:$I$113,"д")+COUNTIFS(D121:D121,4,I121:I121,"+")+COUNTIFS(D121:D121,4,I121:I121,"д")+COUNTIFS(D116:D119,4,I116:I119,"+")+COUNTIFS(D116:D119,4,I116:I119,"д")</f>
        <v>8</v>
      </c>
      <c r="G140" s="173">
        <f>COUNTIFS($D$17:$D$95,5,$I$17:$I$95,"+")+COUNTIFS($D$97:$D$98,5,$I$97:$I$98,"+")+COUNTIFS($D$106:$D$113,5,$I$106:$I$113,"+")+COUNTIFS($D$17:$D$95,5,$I$17:$I$95,"д")+COUNTIFS($D$97:$D$98,5,$I$97:$I$98,"д")+COUNTIFS($D$106:$D$113,5,$I$106:$I$113,"д")+COUNTIFS(D121:D121,5,I121:I121,"+")+COUNTIFS(D121:D121,5,I121:I121,"д")+COUNTIFS(D116:D119,5,I116:I119,"+")+COUNTIFS(D116:D119,5,I116:I119,"д")</f>
        <v>8</v>
      </c>
      <c r="H140" s="173">
        <f>COUNTIFS($D$17:$D$95,6,$I$17:$I$95,"+")+COUNTIFS($D$97:$D$98,6,$I$97:$I$98,"+")+COUNTIFS($D$106:$D$113,6,$I$106:$I$113,"+")+COUNTIFS($D$17:$D$95,6,$I$17:$I$95,"д")+COUNTIFS($D$97:$D$98,6,$I$97:$I$98,"д")+COUNTIFS($D$106:$D$113,6,$I$106:$I$113,"д")+COUNTIFS(D121:D121,6,I121:I121,"+")+COUNTIFS(D121:D121,6,I121:I121,"д")+COUNTIFS(D116:D119,6,I116:I119,"+")+COUNTIFS(D116:D119,6,I116:I119,"д")</f>
        <v>6</v>
      </c>
      <c r="I140" s="171">
        <f>COUNTIFS($D$17:$D$95,7,$I$17:$I$95,"+")+COUNTIFS($D$97:$D$98,7,$I$97:$I$98,"+")+COUNTIFS($D$106:$D$113,7,$I$106:$I$113,"+")+COUNTIFS($D$17:$D$95,7,$I$17:$I$95,"д")+COUNTIFS($D$97:$D$98,7,$I$97:$I$98,"д")+COUNTIFS($D$106:$D$113,7,$I$106:$I$113,"д")+COUNTIFS(D121:D121,7,I121:I121,"+")+COUNTIFS(D121:D121,7,I121:I121,"д")+COUNTIFS(D116:D119,7,I116:I119,"+")+COUNTIFS(D116:D119,7,I116:I119,"д")</f>
        <v>7</v>
      </c>
      <c r="J140" s="173">
        <f>COUNTIFS($D$17:$D$95,8,$I$17:$I$95,"+")+COUNTIFS($D$97:$D$98,8,$I$97:$I$98,"+")+COUNTIFS($D$106:$D$113,8,$I$106:$I$113,"+")+COUNTIFS($D$17:$D$95,8,$I$17:$I$95,"д")+COUNTIFS($D$97:$D$98,8,$I$97:$I$98,"д")+COUNTIFS($D$106:$D$113,8,$I$106:$I$113,"д")+COUNTIFS(D121:D121,8,I121:I121,"+")+COUNTIFS(D121:D121,8,I121:I121,"д")+COUNTIFS(D116:D119,8,I116:I119,"+")+COUNTIFS(D116:D119,8,I116:I119,"д")</f>
        <v>7</v>
      </c>
      <c r="K140" s="272">
        <f t="shared" si="276"/>
        <v>62</v>
      </c>
      <c r="L140" s="273"/>
      <c r="W140" s="7"/>
      <c r="X140" s="8"/>
      <c r="Y140" s="3"/>
      <c r="Z140" s="3"/>
    </row>
    <row r="141" spans="1:26" ht="15.75" x14ac:dyDescent="0.2">
      <c r="B141" s="180" t="s">
        <v>76</v>
      </c>
      <c r="C141" s="173">
        <f>COUNTIFS($D$17:$D$95,1,$I$17:$I$95,"д")+COUNTIFS($D$97:$D$98,1,$I$97:$I$98,"д")+COUNTIFS($D$106:$D$113,1,$I$106:$I$113,"д")+COUNTIFS($D$121:$D$121,1,$I$121:$I$121,"д")</f>
        <v>0</v>
      </c>
      <c r="D141" s="173">
        <f>COUNTIFS($D$17:$D$95,2,$I$17:$I$95,"д")+COUNTIFS($D$97:$D$98,2,$I$97:$I$98,"д")+COUNTIFS($D$106:$D$113,2,$I$106:$I$113,"д")+COUNTIFS($D$121:$D$121,2,$I$121:$I$121,"д")</f>
        <v>1</v>
      </c>
      <c r="E141" s="173">
        <f>COUNTIFS($D$17:$D$95,3,$I$17:$I$95,"д")+COUNTIFS($D$97:$D$98,3,$I$97:$I$98,"д")+COUNTIFS($D$106:$D$113,3,$I$106:$I$113,"д")+COUNTIFS($D$121:$D$121,3,$I$121:$I$121,"д")</f>
        <v>2</v>
      </c>
      <c r="F141" s="173">
        <f>COUNTIFS($D$17:$D$95,4,$I$17:$I$95,"д")+COUNTIFS($D$97:$D$98,4,$I$97:$I$98,"д")+COUNTIFS($D$106:$D$113,4,$I$106:$I$113,"д")+COUNTIFS($D$121:$D$121,4,$I$121:$I$121,"д")</f>
        <v>1</v>
      </c>
      <c r="G141" s="173">
        <f>COUNTIFS($D$17:$D$95,5,$I$17:$I$95,"д")+COUNTIFS($D$97:$D$98,5,$I$97:$I$98,"д")+COUNTIFS($D$106:$D$113,5,$I$106:$I$113,"д")+COUNTIFS($D$121:$D$121,5,$I$121:$I$121,"д")</f>
        <v>1</v>
      </c>
      <c r="H141" s="171">
        <f>COUNTIFS($D$17:$D$95,6,$I$17:$I$95,"д")+COUNTIFS($D$97:$D$98,6,$I$97:$I$98,"д")+COUNTIFS($D$106:$D$113,6,$I$106:$I$113,"д")+COUNTIFS($D$121:$D$121,6,$I$121:$I$121,"д")</f>
        <v>3</v>
      </c>
      <c r="I141" s="171">
        <f>COUNTIFS($D$17:$D$95,7,$I$17:$I$95,"д")+COUNTIFS($D$97:$D$98,7,$I$97:$I$98,"д")+COUNTIFS($D$106:$D$113,7,$I$106:$I$113,"д")+COUNTIFS($D$121:$D$121,7,$I$121:$I$121,"д")</f>
        <v>0</v>
      </c>
      <c r="J141" s="171">
        <f>COUNTIFS($D$17:$D$95,8,$I$17:$I$95,"д")+COUNTIFS($D$97:$D$98,8,$I$97:$I$98,"д")+COUNTIFS($D$106:$D$113,8,$I$106:$I$113,"д")+COUNTIFS($D$121:$D$121,8,$I$121:$I$121,"д")</f>
        <v>1</v>
      </c>
      <c r="K141" s="272">
        <f t="shared" si="276"/>
        <v>9</v>
      </c>
      <c r="L141" s="273"/>
      <c r="W141" s="7"/>
      <c r="X141" s="8"/>
      <c r="Y141" s="3"/>
      <c r="Z141" s="3"/>
    </row>
    <row r="142" spans="1:26" ht="15.75" x14ac:dyDescent="0.2">
      <c r="B142" s="180" t="s">
        <v>77</v>
      </c>
      <c r="C142" s="173">
        <f>COUNTIFS($D$116:$D$121,1,$I$116:$I$121,"+")+COUNTIFS($D$116:$D$121,1,$I$116:$I$121,"д")</f>
        <v>0</v>
      </c>
      <c r="D142" s="173">
        <f>COUNTIFS($D$116:$D$121,2,$I$116:$I$121,"+")+COUNTIFS($D$116:$D$121,2,$I$116:$I$121,"д")</f>
        <v>2</v>
      </c>
      <c r="E142" s="173">
        <f>COUNTIFS($D$116:$D$121,3,$I$116:$I$121,"+")+COUNTIFS($D$116:$D$121,3,$I$116:$I$121,"д")</f>
        <v>0</v>
      </c>
      <c r="F142" s="173">
        <f>COUNTIFS($D$116:$D$121,4,$I$116:$I$121,"+")+COUNTIFS($D$116:$D$121,4,$I$116:$I$121,"д")</f>
        <v>1</v>
      </c>
      <c r="G142" s="173">
        <f>COUNTIFS($D$116:$D$121,5,$I$116:$I$121,"+")+COUNTIFS($D$116:$D$121,5,$I$116:$I$121,"д")</f>
        <v>0</v>
      </c>
      <c r="H142" s="171">
        <f>COUNTIFS($D$116:$D$121,6,$I$116:$I$121,"+")+COUNTIFS($D$116:$D$121,6,$I$116:$I$121,"д")</f>
        <v>1</v>
      </c>
      <c r="I142" s="171">
        <f>COUNTIFS($D$116:$D$121,7,$I$116:$I$121,"+")+COUNTIFS($D$116:$D$121,7,$I$116:$I$121,"д")</f>
        <v>0</v>
      </c>
      <c r="J142" s="171">
        <f>COUNTIFS($D$116:$D$121,8,$I$116:$I$121,"+")+COUNTIFS($D$116:$D$121,8,$I$116:$I$121,"д")</f>
        <v>1</v>
      </c>
      <c r="K142" s="272">
        <f t="shared" si="276"/>
        <v>5</v>
      </c>
      <c r="L142" s="273"/>
      <c r="W142" s="7"/>
      <c r="X142" s="8"/>
      <c r="Y142" s="3"/>
      <c r="Z142" s="3"/>
    </row>
    <row r="143" spans="1:26" ht="15.75" x14ac:dyDescent="0.2">
      <c r="B143" s="181" t="s">
        <v>78</v>
      </c>
      <c r="C143" s="171">
        <f>COUNTIFS($D$17:$D$95,1,$J$17:$J$95,"+")+COUNTIFS($D$97:$D$98,1,$J$97:$J$98,"+")+COUNTIFS($D$106:$D$113,1,$J$106:$J$113,"+")</f>
        <v>0</v>
      </c>
      <c r="D143" s="171">
        <f>COUNTIFS($D$17:$D$95,2,$J$17:$J$95,"+")+COUNTIFS($D$97:$D$98,2,$J$97:$J$98,"+")+COUNTIFS($D$106:$D$113,2,$J$106:$J$113,"+")</f>
        <v>0</v>
      </c>
      <c r="E143" s="171">
        <f>COUNTIFS($D$17:$D$95,3,$J$17:$J$95,"+")+COUNTIFS($D$97:$D$98,3,$J$97:$J$98,"+")+COUNTIFS($D$106:$D$113,3,$J$106:$J$113,"+")</f>
        <v>0</v>
      </c>
      <c r="F143" s="171">
        <f>COUNTIFS($D$17:$D$95,4,$J$17:$J$95,"+")+COUNTIFS($D$97:$D$98,4,$J$97:$J$98,"+")+COUNTIFS($D$106:$D$113,4,$J$106:$J$113,"+")</f>
        <v>2</v>
      </c>
      <c r="G143" s="171">
        <f>COUNTIFS($D$17:$D$95,5,$J$17:$J$95,"+")+COUNTIFS($D$97:$D$98,5,$J$97:$J$98,"+")+COUNTIFS($D$106:$D$113,5,$J$106:$J$113,"+")</f>
        <v>0</v>
      </c>
      <c r="H143" s="171">
        <f>COUNTIFS($D$17:$D$95,6,$J$17:$J$95,"+")+COUNTIFS($D$97:$D$98,6,$J$97:$J$98,"+")+COUNTIFS($D$106:$D$113,6,$J$106:$J$113,"+")</f>
        <v>1</v>
      </c>
      <c r="I143" s="171">
        <f>COUNTIFS($D$17:$D$95,7,$J$17:$J$95,"+")+COUNTIFS($D$97:$D$98,7,$J$97:$J$98,"+")+COUNTIFS($D$106:$D$113,7,$J$106:$J$113,"+")</f>
        <v>1</v>
      </c>
      <c r="J143" s="171">
        <f>COUNTIFS($D$17:$D$95,8,$J$17:$J$95,"+")+COUNTIFS($D$97:$D$98,8,$J$97:$J$98,"+")+COUNTIFS($D$106:$D$113,8,$J$106:$J$113,"+")</f>
        <v>0</v>
      </c>
      <c r="K143" s="272">
        <f t="shared" si="276"/>
        <v>4</v>
      </c>
      <c r="L143" s="273"/>
      <c r="W143" s="7"/>
      <c r="X143" s="8"/>
      <c r="Y143" s="3"/>
      <c r="Z143" s="3"/>
    </row>
    <row r="144" spans="1:26" ht="15.75" x14ac:dyDescent="0.2">
      <c r="B144" s="170" t="s">
        <v>79</v>
      </c>
      <c r="C144" s="171">
        <f>COUNTIFS($D$17:$D$95,1,$K$17:$K$95,"+")+COUNTIFS($D$97:$D$98,1,$K$97:$K$98,"+")+COUNTIFS($D$106:$D$113,1,$K$106:$K$113,"+")</f>
        <v>0</v>
      </c>
      <c r="D144" s="171">
        <f>COUNTIFS($D$17:$D$95,2,$K$17:$K$95,"+")+COUNTIFS($D$97:$D$98,2,$K$97:$K$98,"+")+COUNTIFS($D$106:$D$113,2,$K$106:$K$113,"+")</f>
        <v>0</v>
      </c>
      <c r="E144" s="171">
        <f>COUNTIFS($D$17:$D$95,3,$K$17:$K$95,"+")+COUNTIFS($D$97:$D$98,3,$K$97:$K$98,"+")+COUNTIFS($D$106:$D$113,3,$K$106:$K$113,"+")</f>
        <v>0</v>
      </c>
      <c r="F144" s="171">
        <f>COUNTIFS($D$17:$D$95,4,$K$17:$K$95,"+")+COUNTIFS($D$97:$D$98,4,$K$97:$K$98,"+")+COUNTIFS($D$106:$D$113,4,$K$106:$K$113,"+")</f>
        <v>1</v>
      </c>
      <c r="G144" s="171">
        <f>COUNTIFS($D$17:$D$95,5,$K$17:$K$95,"+")+COUNTIFS($D$97:$D$98,5,$K$97:$K$98,"+")+COUNTIFS($D$106:$D$113,5,$K$106:$K$113,"+")</f>
        <v>2</v>
      </c>
      <c r="H144" s="171">
        <f>COUNTIFS($D$17:$D$95,6,$K$17:$K$95,"+")+COUNTIFS($D$97:$D$98,6,$K$97:$K$98,"+")+COUNTIFS($D$106:$D$113,6,$K$106:$K$113,"+")</f>
        <v>1</v>
      </c>
      <c r="I144" s="171">
        <f>COUNTIFS($D$17:$D$95,7,$K$17:$K$95,"+")+COUNTIFS($D$97:$D$98,7,$K$97:$K$98,"+")+COUNTIFS($D$106:$D$113,7,$K$106:$K$113,"+")</f>
        <v>0</v>
      </c>
      <c r="J144" s="171">
        <f>COUNTIFS($D$17:$D$95,8,$K$17:$K$95,"+")+COUNTIFS($D$97:$D$98,8,$K$97:$K$98,"+")+COUNTIFS($D$106:$D$113,8,$K$106:$K$113,"+")</f>
        <v>0</v>
      </c>
      <c r="K144" s="272">
        <f t="shared" si="276"/>
        <v>4</v>
      </c>
      <c r="L144" s="273"/>
      <c r="W144" s="7"/>
      <c r="X144" s="8"/>
      <c r="Y144" s="3"/>
      <c r="Z144" s="3"/>
    </row>
    <row r="145" spans="2:26" ht="15.75" x14ac:dyDescent="0.2">
      <c r="B145" s="170" t="s">
        <v>80</v>
      </c>
      <c r="C145" s="171">
        <f>COUNTIFS($D$17:$D$95,1,$L$17:$L$95,"+")+COUNTIFS($D$97:$D$98,1,$L$97:$L$98,"+")+COUNTIFS($D$106:$D$113,1,$L$106:$L$113,"+")</f>
        <v>2</v>
      </c>
      <c r="D145" s="171">
        <f>COUNTIFS($D$17:$D$95,2,$L$17:$L$95,"+")+COUNTIFS($D$97:$D$98,2,$L$97:$L$98,"+")+COUNTIFS($D$106:$D$113,2,$L$106:$L$113,"+")</f>
        <v>3</v>
      </c>
      <c r="E145" s="171">
        <f>COUNTIFS($D$17:$D$95,3,$L$17:$L$95,"+")+COUNTIFS($D$97:$D$98,3,$L$97:$L$98,"+")+COUNTIFS($D$106:$D$113,3,$L$106:$L$113,"+")</f>
        <v>5</v>
      </c>
      <c r="F145" s="171">
        <f>COUNTIFS($D$17:$D$95,4,$L$17:$L$95,"+")+COUNTIFS($D$97:$D$98,4,$L$97:$L$98,"+")+COUNTIFS($D$106:$D$113,4,$L$106:$L$113,"+")</f>
        <v>2</v>
      </c>
      <c r="G145" s="171">
        <f>COUNTIFS($D$17:$D$95,5,$L$17:$L$95,"+")+COUNTIFS($D$97:$D$98,5,$L$97:$L$98,"+")+COUNTIFS($D$106:$D$113,5,$L$106:$L$113,"+")</f>
        <v>1</v>
      </c>
      <c r="H145" s="171">
        <f>COUNTIFS($D$17:$D$95,6,$L$17:$L$95,"+")+COUNTIFS($D$97:$D$98,6,$L$97:$L$98,"+")+COUNTIFS($D$106:$D$113,6,$L$106:$L$113,"+")</f>
        <v>1</v>
      </c>
      <c r="I145" s="171">
        <f>COUNTIFS($D$17:$D$95,7,$L$17:$L$95,"+")+COUNTIFS($D$97:$D$98,7,$L$97:$L$98,"+")+COUNTIFS($D$106:$D$113,7,$L$106:$L$113,"+")</f>
        <v>0</v>
      </c>
      <c r="J145" s="171">
        <f>COUNTIFS($D$17:$D$95,8,$L$17:$L$95,"+")+COUNTIFS($D$97:$D$98,8,$L$97:$L$98,"+")+COUNTIFS($D$106:$D$113,8,$L$106:$L$113,"+")</f>
        <v>0</v>
      </c>
      <c r="K145" s="272">
        <f t="shared" si="276"/>
        <v>14</v>
      </c>
      <c r="L145" s="273"/>
      <c r="W145" s="7"/>
      <c r="X145" s="8"/>
      <c r="Y145" s="3"/>
      <c r="Z145" s="3"/>
    </row>
    <row r="146" spans="2:26" ht="15" x14ac:dyDescent="0.25">
      <c r="B146" s="182"/>
      <c r="C146" s="182"/>
      <c r="D146" s="182"/>
      <c r="E146" s="182"/>
      <c r="F146" s="182"/>
      <c r="G146" s="182"/>
      <c r="H146" s="183"/>
      <c r="I146" s="183"/>
      <c r="W146" s="7"/>
      <c r="X146" s="8"/>
      <c r="Y146" s="3"/>
      <c r="Z146" s="3"/>
    </row>
    <row r="147" spans="2:26" ht="15" x14ac:dyDescent="0.25">
      <c r="B147" s="247" t="s">
        <v>190</v>
      </c>
      <c r="C147" s="185"/>
      <c r="D147" s="185"/>
      <c r="E147" s="185"/>
      <c r="F147" s="185"/>
      <c r="G147" s="185"/>
      <c r="H147" s="186"/>
      <c r="I147" s="188"/>
      <c r="J147" s="189"/>
      <c r="K147" s="189"/>
      <c r="L147" s="189"/>
      <c r="M147" s="266" t="s">
        <v>187</v>
      </c>
      <c r="N147" s="266"/>
      <c r="O147" s="266"/>
      <c r="P147" s="266"/>
      <c r="W147" s="7"/>
      <c r="X147" s="8"/>
      <c r="Y147" s="3"/>
      <c r="Z147" s="3"/>
    </row>
    <row r="148" spans="2:26" ht="15" x14ac:dyDescent="0.25">
      <c r="B148" s="247" t="s">
        <v>191</v>
      </c>
      <c r="C148" s="185"/>
      <c r="D148" s="185"/>
      <c r="E148" s="185"/>
      <c r="F148" s="185"/>
      <c r="G148" s="185"/>
      <c r="H148" s="186"/>
      <c r="I148" s="188"/>
      <c r="J148" s="189"/>
      <c r="K148" s="189"/>
      <c r="L148" s="189"/>
      <c r="M148" s="284" t="s">
        <v>188</v>
      </c>
      <c r="N148" s="284"/>
      <c r="O148" s="284"/>
      <c r="P148" s="284"/>
      <c r="W148" s="7"/>
      <c r="X148" s="8"/>
      <c r="Y148" s="3"/>
      <c r="Z148" s="3"/>
    </row>
    <row r="149" spans="2:26" ht="15" x14ac:dyDescent="0.25">
      <c r="B149" s="184" t="s">
        <v>186</v>
      </c>
      <c r="C149" s="185"/>
      <c r="D149" s="185"/>
      <c r="E149" s="185"/>
      <c r="F149" s="185"/>
      <c r="G149" s="185"/>
      <c r="H149" s="186"/>
      <c r="I149" s="190"/>
      <c r="J149" s="191"/>
      <c r="K149" s="191"/>
      <c r="L149" s="191"/>
      <c r="M149" s="266" t="s">
        <v>189</v>
      </c>
      <c r="N149" s="266"/>
      <c r="O149" s="266"/>
      <c r="P149" s="266"/>
      <c r="W149" s="7"/>
      <c r="X149" s="8"/>
      <c r="Y149" s="3"/>
      <c r="Z149" s="3"/>
    </row>
    <row r="150" spans="2:26" ht="15" x14ac:dyDescent="0.25">
      <c r="B150" s="184" t="s">
        <v>196</v>
      </c>
      <c r="C150" s="185"/>
      <c r="D150" s="185"/>
      <c r="E150" s="185"/>
      <c r="F150" s="185"/>
      <c r="G150" s="185"/>
      <c r="H150" s="186"/>
      <c r="I150" s="190"/>
      <c r="J150" s="191"/>
      <c r="K150" s="191"/>
      <c r="L150" s="191"/>
      <c r="M150" s="267" t="s">
        <v>197</v>
      </c>
      <c r="N150" s="267"/>
      <c r="O150" s="267"/>
      <c r="P150" s="267"/>
      <c r="U150" s="4" t="s">
        <v>104</v>
      </c>
      <c r="X150" s="8"/>
      <c r="Y150" s="3"/>
      <c r="Z150" s="3"/>
    </row>
    <row r="151" spans="2:26" ht="15" x14ac:dyDescent="0.25">
      <c r="B151" s="184" t="s">
        <v>100</v>
      </c>
      <c r="C151" s="185"/>
      <c r="D151" s="185"/>
      <c r="E151" s="185"/>
      <c r="F151" s="185"/>
      <c r="G151" s="185"/>
      <c r="H151" s="186"/>
      <c r="I151" s="190"/>
      <c r="J151" s="191"/>
      <c r="K151" s="191"/>
      <c r="L151" s="191"/>
      <c r="M151" s="267" t="s">
        <v>101</v>
      </c>
      <c r="N151" s="267"/>
      <c r="O151" s="267"/>
      <c r="P151" s="267"/>
      <c r="X151" s="8"/>
      <c r="Y151" s="3"/>
      <c r="Z151" s="3"/>
    </row>
    <row r="152" spans="2:26" ht="15" x14ac:dyDescent="0.25">
      <c r="B152" s="184"/>
      <c r="C152" s="185"/>
      <c r="D152" s="185"/>
      <c r="E152" s="185"/>
      <c r="F152" s="185"/>
      <c r="G152" s="185"/>
      <c r="H152" s="186"/>
      <c r="I152" s="186"/>
      <c r="J152" s="185"/>
      <c r="K152" s="185"/>
      <c r="L152" s="185"/>
      <c r="M152" s="267"/>
      <c r="N152" s="267"/>
      <c r="O152" s="267"/>
      <c r="P152" s="267"/>
      <c r="X152" s="8"/>
      <c r="Y152" s="3"/>
      <c r="Z152" s="3"/>
    </row>
    <row r="153" spans="2:26" x14ac:dyDescent="0.2">
      <c r="I153" s="182"/>
      <c r="J153" s="182"/>
      <c r="K153" s="182"/>
      <c r="L153" s="182"/>
      <c r="W153" s="7"/>
      <c r="X153" s="187"/>
      <c r="Y153" s="3"/>
      <c r="Z153" s="3"/>
    </row>
    <row r="154" spans="2:26" x14ac:dyDescent="0.2">
      <c r="W154" s="7"/>
      <c r="X154" s="3"/>
      <c r="Y154" s="3"/>
      <c r="Z154" s="3"/>
    </row>
    <row r="155" spans="2:26" x14ac:dyDescent="0.2">
      <c r="W155" s="7"/>
      <c r="X155" s="3"/>
      <c r="Y155" s="3"/>
      <c r="Z155" s="3"/>
    </row>
    <row r="157" spans="2:26" x14ac:dyDescent="0.2">
      <c r="B157" s="4" t="s">
        <v>81</v>
      </c>
    </row>
  </sheetData>
  <sheetProtection formatCells="0" insertRows="0" deleteRows="0"/>
  <autoFilter ref="A14:Z124" xr:uid="{00000000-0009-0000-0000-000000000000}"/>
  <mergeCells count="65">
    <mergeCell ref="A8:A13"/>
    <mergeCell ref="B8:B13"/>
    <mergeCell ref="C8:C13"/>
    <mergeCell ref="D8:D13"/>
    <mergeCell ref="A63:A65"/>
    <mergeCell ref="A33:A36"/>
    <mergeCell ref="A27:A30"/>
    <mergeCell ref="A17:A20"/>
    <mergeCell ref="A40:A42"/>
    <mergeCell ref="A44:A46"/>
    <mergeCell ref="A56:A58"/>
    <mergeCell ref="E8:F13"/>
    <mergeCell ref="Q11:Q13"/>
    <mergeCell ref="R11:R13"/>
    <mergeCell ref="S11:S13"/>
    <mergeCell ref="B1:V1"/>
    <mergeCell ref="B3:V3"/>
    <mergeCell ref="B5:V5"/>
    <mergeCell ref="G8:G13"/>
    <mergeCell ref="H8:L10"/>
    <mergeCell ref="H11:H13"/>
    <mergeCell ref="I11:I13"/>
    <mergeCell ref="J11:J13"/>
    <mergeCell ref="K11:K13"/>
    <mergeCell ref="L11:L13"/>
    <mergeCell ref="R7:V7"/>
    <mergeCell ref="P11:P13"/>
    <mergeCell ref="M8:S9"/>
    <mergeCell ref="T8:V12"/>
    <mergeCell ref="M10:M13"/>
    <mergeCell ref="N10:N13"/>
    <mergeCell ref="O10:O13"/>
    <mergeCell ref="P10:S10"/>
    <mergeCell ref="M152:P152"/>
    <mergeCell ref="M148:P148"/>
    <mergeCell ref="O130:T130"/>
    <mergeCell ref="K132:L132"/>
    <mergeCell ref="K133:L133"/>
    <mergeCell ref="K130:L130"/>
    <mergeCell ref="K131:L131"/>
    <mergeCell ref="K144:L144"/>
    <mergeCell ref="K145:L145"/>
    <mergeCell ref="K134:L134"/>
    <mergeCell ref="K135:L135"/>
    <mergeCell ref="K136:L136"/>
    <mergeCell ref="K137:L137"/>
    <mergeCell ref="B138:L138"/>
    <mergeCell ref="K139:L139"/>
    <mergeCell ref="K140:L140"/>
    <mergeCell ref="A100:A105"/>
    <mergeCell ref="M147:P147"/>
    <mergeCell ref="M149:P149"/>
    <mergeCell ref="M150:P150"/>
    <mergeCell ref="M151:P151"/>
    <mergeCell ref="K126:L126"/>
    <mergeCell ref="K127:L127"/>
    <mergeCell ref="K128:L128"/>
    <mergeCell ref="K129:L129"/>
    <mergeCell ref="K141:L141"/>
    <mergeCell ref="K142:L142"/>
    <mergeCell ref="K143:L143"/>
    <mergeCell ref="A114:B114"/>
    <mergeCell ref="A122:D122"/>
    <mergeCell ref="A108:A113"/>
    <mergeCell ref="A106:A107"/>
  </mergeCells>
  <pageMargins left="0.98425196850393704" right="0.39370078740157483" top="0.78740157480314965" bottom="0.78740157480314965" header="0.31496062992125984" footer="0.31496062992125984"/>
  <pageSetup paperSize="9" scale="5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Бакалавры 3++ шаблон</vt:lpstr>
      <vt:lpstr>'Бакалавры 3++ шаблон'!Заголовки_для_печати</vt:lpstr>
      <vt:lpstr>'Бакалавры 3++ шаблон'!Область_печати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agrig</dc:creator>
  <cp:lastModifiedBy>Щербаков А.Б.</cp:lastModifiedBy>
  <cp:lastPrinted>2019-11-07T06:14:36Z</cp:lastPrinted>
  <dcterms:created xsi:type="dcterms:W3CDTF">2016-04-06T09:05:04Z</dcterms:created>
  <dcterms:modified xsi:type="dcterms:W3CDTF">2021-07-14T12:13:00Z</dcterms:modified>
</cp:coreProperties>
</file>